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C:\RJ Morais Engenharia e Empreendimentos\Clientes\A138 - PREFEITURA DE CEDRO DO ABAETÉ\PACOTE 2023\SERVIÇOS\PLANILHA ORÇAMENTÁRIA\"/>
    </mc:Choice>
  </mc:AlternateContent>
  <xr:revisionPtr revIDLastSave="0" documentId="13_ncr:201_{5008F754-0E6F-4642-919F-EF1ED34793A3}" xr6:coauthVersionLast="47" xr6:coauthVersionMax="47" xr10:uidLastSave="{00000000-0000-0000-0000-000000000000}"/>
  <bookViews>
    <workbookView xWindow="-120" yWindow="-120" windowWidth="20730" windowHeight="11160" xr2:uid="{00000000-000D-0000-FFFF-FFFF00000000}"/>
  </bookViews>
  <sheets>
    <sheet name="Planilha" sheetId="1" r:id="rId1"/>
    <sheet name="memória de cálculo" sheetId="4" r:id="rId2"/>
    <sheet name="cronograma" sheetId="2" r:id="rId3"/>
    <sheet name="BDI" sheetId="5" r:id="rId4"/>
  </sheets>
  <externalReferences>
    <externalReference r:id="rId5"/>
  </externalReferences>
  <definedNames>
    <definedName name="_xlnm.Print_Area" localSheetId="3">BDI!$A$1:$I$27</definedName>
    <definedName name="_xlnm.Print_Area" localSheetId="2">cronograma!$A$1:$I$22</definedName>
    <definedName name="_xlnm.Print_Area" localSheetId="1">'memória de cálculo'!$A$1:$J$39</definedName>
    <definedName name="_xlnm.Print_Area" localSheetId="0">Planilha!$A$1:$J$40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2" l="1"/>
  <c r="G15" i="2"/>
  <c r="E18" i="2"/>
  <c r="J29" i="4"/>
  <c r="J25" i="4"/>
  <c r="J13" i="4"/>
  <c r="J14" i="4"/>
  <c r="J35" i="4"/>
  <c r="J33" i="4"/>
  <c r="J32" i="4"/>
  <c r="J27" i="4"/>
  <c r="J26" i="4"/>
  <c r="J24" i="4"/>
  <c r="J23" i="4"/>
  <c r="J22" i="4"/>
  <c r="J21" i="4"/>
  <c r="J20" i="4"/>
  <c r="F19" i="1" l="1"/>
  <c r="H19" i="1" s="1"/>
  <c r="A19" i="4"/>
  <c r="B19" i="4"/>
  <c r="C19" i="4"/>
  <c r="D19" i="4"/>
  <c r="E19" i="4"/>
  <c r="J30" i="4"/>
  <c r="F30" i="1" s="1"/>
  <c r="H30" i="1" s="1"/>
  <c r="A30" i="4"/>
  <c r="B30" i="4"/>
  <c r="C30" i="4"/>
  <c r="D30" i="4"/>
  <c r="E30" i="4"/>
  <c r="J18" i="4"/>
  <c r="F18" i="1" s="1"/>
  <c r="J16" i="4"/>
  <c r="F16" i="1" s="1"/>
  <c r="H16" i="1" s="1"/>
  <c r="H15" i="1" s="1"/>
  <c r="F13" i="1"/>
  <c r="F14" i="1"/>
  <c r="A15" i="4"/>
  <c r="B15" i="4"/>
  <c r="A16" i="4"/>
  <c r="B16" i="4"/>
  <c r="C16" i="4"/>
  <c r="D16" i="4"/>
  <c r="E16" i="4"/>
  <c r="F16" i="4"/>
  <c r="A17" i="4"/>
  <c r="B17" i="4"/>
  <c r="A18" i="4"/>
  <c r="B18" i="4"/>
  <c r="C18" i="4"/>
  <c r="D18" i="4"/>
  <c r="E18" i="4"/>
  <c r="A20" i="4"/>
  <c r="B20" i="4"/>
  <c r="C20" i="4"/>
  <c r="D20" i="4"/>
  <c r="E20" i="4"/>
  <c r="A21" i="4"/>
  <c r="B21" i="4"/>
  <c r="C21" i="4"/>
  <c r="D21" i="4"/>
  <c r="E21" i="4"/>
  <c r="A22" i="4"/>
  <c r="B22" i="4"/>
  <c r="C22" i="4"/>
  <c r="D22" i="4"/>
  <c r="E22" i="4"/>
  <c r="A23" i="4"/>
  <c r="B23" i="4"/>
  <c r="C23" i="4"/>
  <c r="D23" i="4"/>
  <c r="E23" i="4"/>
  <c r="A24" i="4"/>
  <c r="B24" i="4"/>
  <c r="C24" i="4"/>
  <c r="D24" i="4"/>
  <c r="E24" i="4"/>
  <c r="A25" i="4"/>
  <c r="B25" i="4"/>
  <c r="C25" i="4"/>
  <c r="D25" i="4"/>
  <c r="E25" i="4"/>
  <c r="A26" i="4"/>
  <c r="B26" i="4"/>
  <c r="C26" i="4"/>
  <c r="D26" i="4"/>
  <c r="E26" i="4"/>
  <c r="A27" i="4"/>
  <c r="B27" i="4"/>
  <c r="C27" i="4"/>
  <c r="D27" i="4"/>
  <c r="E27" i="4"/>
  <c r="E14" i="4"/>
  <c r="D14" i="4"/>
  <c r="C14" i="4"/>
  <c r="B14" i="4"/>
  <c r="A14" i="4"/>
  <c r="E13" i="4"/>
  <c r="D13" i="4"/>
  <c r="C13" i="4"/>
  <c r="B13" i="4"/>
  <c r="A13" i="4"/>
  <c r="F12" i="1"/>
  <c r="H13" i="1" l="1"/>
  <c r="H14" i="1"/>
  <c r="I7" i="5" l="1"/>
  <c r="A12" i="4" l="1"/>
  <c r="B12" i="4"/>
  <c r="C12" i="4"/>
  <c r="D12" i="4"/>
  <c r="E12" i="4"/>
  <c r="F27" i="1"/>
  <c r="H12" i="1" l="1"/>
  <c r="H27" i="1"/>
  <c r="D4" i="5"/>
  <c r="F23" i="1"/>
  <c r="F25" i="1"/>
  <c r="F26" i="1"/>
  <c r="B16" i="2"/>
  <c r="B14" i="2"/>
  <c r="B12" i="2"/>
  <c r="B10" i="2"/>
  <c r="B8" i="2"/>
  <c r="B6" i="2"/>
  <c r="F21" i="1" l="1"/>
  <c r="F24" i="1" l="1"/>
  <c r="F11" i="1" l="1"/>
  <c r="E36" i="4"/>
  <c r="A39" i="4"/>
  <c r="F29" i="1"/>
  <c r="F33" i="1"/>
  <c r="F20" i="1"/>
  <c r="C18" i="5"/>
  <c r="F35" i="1"/>
  <c r="H35" i="1" s="1"/>
  <c r="H34" i="1" s="1"/>
  <c r="E35" i="4"/>
  <c r="D35" i="4"/>
  <c r="C35" i="4"/>
  <c r="B35" i="4"/>
  <c r="A35" i="4"/>
  <c r="B34" i="4"/>
  <c r="A34" i="4"/>
  <c r="E33" i="4"/>
  <c r="D33" i="4"/>
  <c r="C33" i="4"/>
  <c r="B33" i="4"/>
  <c r="A33" i="4"/>
  <c r="E32" i="4"/>
  <c r="D32" i="4"/>
  <c r="C32" i="4"/>
  <c r="B32" i="4"/>
  <c r="A32" i="4"/>
  <c r="B31" i="4"/>
  <c r="A31" i="4"/>
  <c r="E29" i="4"/>
  <c r="D29" i="4"/>
  <c r="C29" i="4"/>
  <c r="B29" i="4"/>
  <c r="A29" i="4"/>
  <c r="B28" i="4"/>
  <c r="A28" i="4"/>
  <c r="F10" i="1"/>
  <c r="F32" i="1" l="1"/>
  <c r="H32" i="1" s="1"/>
  <c r="H33" i="1" l="1"/>
  <c r="H31" i="1" s="1"/>
  <c r="H20" i="1" l="1"/>
  <c r="H16" i="2"/>
  <c r="H14" i="2"/>
  <c r="H12" i="2"/>
  <c r="H10" i="2"/>
  <c r="H8" i="2"/>
  <c r="H6" i="2"/>
  <c r="H18" i="1" l="1"/>
  <c r="A3" i="5" l="1"/>
  <c r="J3" i="1" l="1"/>
  <c r="I19" i="1" s="1"/>
  <c r="J19" i="1" s="1"/>
  <c r="J3" i="4"/>
  <c r="H5" i="5"/>
  <c r="I16" i="1" l="1"/>
  <c r="J16" i="1" s="1"/>
  <c r="J15" i="1" s="1"/>
  <c r="I30" i="1"/>
  <c r="J30" i="1" s="1"/>
  <c r="I13" i="1"/>
  <c r="J13" i="1" s="1"/>
  <c r="I14" i="1"/>
  <c r="J14" i="1" s="1"/>
  <c r="I12" i="1"/>
  <c r="J12" i="1" s="1"/>
  <c r="I27" i="1"/>
  <c r="J27" i="1" s="1"/>
  <c r="I22" i="1"/>
  <c r="I25" i="1"/>
  <c r="I26" i="1"/>
  <c r="I21" i="1"/>
  <c r="I23" i="1"/>
  <c r="I24" i="1"/>
  <c r="I32" i="1"/>
  <c r="J32" i="1" s="1"/>
  <c r="I35" i="1"/>
  <c r="J35" i="1" s="1"/>
  <c r="J34" i="1" s="1"/>
  <c r="I18" i="1"/>
  <c r="J18" i="1" s="1"/>
  <c r="I33" i="1"/>
  <c r="J33" i="1" s="1"/>
  <c r="I20" i="1"/>
  <c r="J20" i="1" s="1"/>
  <c r="E17" i="2" l="1"/>
  <c r="J31" i="1"/>
  <c r="E15" i="2" s="1"/>
  <c r="J21" i="1"/>
  <c r="H21" i="1"/>
  <c r="I29" i="1" l="1"/>
  <c r="I11" i="1"/>
  <c r="I9" i="1"/>
  <c r="J9" i="4"/>
  <c r="F9" i="1" s="1"/>
  <c r="A2" i="2" l="1"/>
  <c r="A4" i="2"/>
  <c r="A3" i="2"/>
  <c r="B5" i="4"/>
  <c r="B4" i="4"/>
  <c r="B3" i="4"/>
  <c r="I10" i="1" l="1"/>
  <c r="J9" i="1"/>
  <c r="A8" i="4"/>
  <c r="A10" i="4"/>
  <c r="B10" i="4"/>
  <c r="C10" i="4"/>
  <c r="D10" i="4"/>
  <c r="E10" i="4"/>
  <c r="A11" i="4"/>
  <c r="B11" i="4"/>
  <c r="C11" i="4"/>
  <c r="D11" i="4"/>
  <c r="E11" i="4"/>
  <c r="E9" i="4"/>
  <c r="D9" i="4"/>
  <c r="C9" i="4"/>
  <c r="B9" i="4"/>
  <c r="A9" i="4"/>
  <c r="B8" i="4"/>
  <c r="H11" i="1" l="1"/>
  <c r="J11" i="1"/>
  <c r="H23" i="1"/>
  <c r="J23" i="1"/>
  <c r="H25" i="1"/>
  <c r="J25" i="1"/>
  <c r="H26" i="1"/>
  <c r="J26" i="1"/>
  <c r="H22" i="1"/>
  <c r="J22" i="1"/>
  <c r="H24" i="1"/>
  <c r="J24" i="1"/>
  <c r="J10" i="1"/>
  <c r="J8" i="1" l="1"/>
  <c r="J17" i="1"/>
  <c r="E11" i="2" s="1"/>
  <c r="H17" i="1"/>
  <c r="E9" i="2"/>
  <c r="G11" i="2" l="1"/>
  <c r="G18" i="2" s="1"/>
  <c r="F9" i="2"/>
  <c r="F11" i="2" l="1"/>
  <c r="F18" i="2" s="1"/>
  <c r="H9" i="2"/>
  <c r="J29" i="1"/>
  <c r="H29" i="1"/>
  <c r="H28" i="1" s="1"/>
  <c r="H11" i="2" l="1"/>
  <c r="J28" i="1"/>
  <c r="E13" i="2" l="1"/>
  <c r="F13" i="2" s="1"/>
  <c r="J36" i="1"/>
  <c r="G13" i="2"/>
  <c r="H17" i="2"/>
  <c r="H10" i="1"/>
  <c r="H13" i="2" l="1"/>
  <c r="H15" i="2"/>
  <c r="H18" i="2" s="1"/>
  <c r="H2" i="4"/>
  <c r="H1" i="4"/>
  <c r="H9" i="1" l="1"/>
  <c r="H8" i="1" l="1"/>
  <c r="D5" i="5"/>
  <c r="E7" i="2"/>
  <c r="H36" i="1" l="1"/>
  <c r="F18" i="5" s="1"/>
  <c r="G18" i="5" s="1"/>
  <c r="G19" i="5" s="1"/>
  <c r="F7" i="2"/>
  <c r="H18" i="5" l="1"/>
  <c r="I18" i="5" s="1"/>
  <c r="I19" i="5" s="1"/>
  <c r="E16" i="2"/>
  <c r="E14" i="2"/>
  <c r="E12" i="2"/>
  <c r="E8" i="2"/>
  <c r="E10" i="2"/>
  <c r="H7" i="2"/>
  <c r="E6" i="2" l="1"/>
</calcChain>
</file>

<file path=xl/sharedStrings.xml><?xml version="1.0" encoding="utf-8"?>
<sst xmlns="http://schemas.openxmlformats.org/spreadsheetml/2006/main" count="263" uniqueCount="186">
  <si>
    <t xml:space="preserve">UN </t>
  </si>
  <si>
    <t>CÓDIGO</t>
  </si>
  <si>
    <t>ITEM</t>
  </si>
  <si>
    <t>DISCRIMINAÇÃO</t>
  </si>
  <si>
    <t>QUANT.</t>
  </si>
  <si>
    <t>PREÇO DE CUSTO</t>
  </si>
  <si>
    <t>PR. TOTAL</t>
  </si>
  <si>
    <t>PLANILHA DE CUSTOS</t>
  </si>
  <si>
    <t>(1 - (I + CPRB))</t>
  </si>
  <si>
    <t>Observação:
Composição do BDI conforme parâmetros do Acórdão
2622/2013 do TCU</t>
  </si>
  <si>
    <t>ED-50266</t>
  </si>
  <si>
    <t>CRONOGRAMA FÍSICO-FINANCEIRO</t>
  </si>
  <si>
    <t>ETAPAS/DESCRIÇÃO</t>
  </si>
  <si>
    <t>FÍSICO/ FINANCEIRO</t>
  </si>
  <si>
    <t>TOTAL  ETAPAS</t>
  </si>
  <si>
    <t>MÊS 1</t>
  </si>
  <si>
    <t>MÊS 2</t>
  </si>
  <si>
    <t>TOTAL</t>
  </si>
  <si>
    <t>Físico %</t>
  </si>
  <si>
    <t>Financeiro</t>
  </si>
  <si>
    <t>1.1</t>
  </si>
  <si>
    <t>ED-16660</t>
  </si>
  <si>
    <t>Setop</t>
  </si>
  <si>
    <t>BDI=</t>
  </si>
  <si>
    <t>____________________________________</t>
  </si>
  <si>
    <t>LIMPEZA FINAL PARA ENTREGA DA OBRA</t>
  </si>
  <si>
    <t>MEMÓRIA DE CÁLCULO</t>
  </si>
  <si>
    <t>DESCRIÇÃO</t>
  </si>
  <si>
    <t>FÓRMULA</t>
  </si>
  <si>
    <t>QUANTIDADE</t>
  </si>
  <si>
    <t>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</si>
  <si>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2.1</t>
  </si>
  <si>
    <t>m</t>
  </si>
  <si>
    <t>m²</t>
  </si>
  <si>
    <t>JOÃO RAFAEL BUENO DE MORAIS LOPES</t>
  </si>
  <si>
    <t>CREA-MG:235527/D</t>
  </si>
  <si>
    <t xml:space="preserve">PRAZO </t>
  </si>
  <si>
    <t>CREA/MG</t>
  </si>
  <si>
    <t>ALVENARIAS</t>
  </si>
  <si>
    <t>vb</t>
  </si>
  <si>
    <t>m³</t>
  </si>
  <si>
    <t>1.2</t>
  </si>
  <si>
    <t>PREFEITURA MUNICIPAL DE CEDRO DO ABAETÉ - MG</t>
  </si>
  <si>
    <t>1.3</t>
  </si>
  <si>
    <t xml:space="preserve">APILOAMENTO DO FUNDO DE VALAS COM SOQUETE </t>
  </si>
  <si>
    <t xml:space="preserve">ED-51093 </t>
  </si>
  <si>
    <t xml:space="preserve">LASTRO DE BRITA 2 OU 3 APILOADO MANUALMENTE </t>
  </si>
  <si>
    <t>ED-49813</t>
  </si>
  <si>
    <t>kg</t>
  </si>
  <si>
    <t>mês</t>
  </si>
  <si>
    <t>1.4</t>
  </si>
  <si>
    <t>comprimento x altura</t>
  </si>
  <si>
    <t>unidade</t>
  </si>
  <si>
    <t>cronograma</t>
  </si>
  <si>
    <t>-</t>
  </si>
  <si>
    <t>ANOTAÇÃO DE RESPONSABILIDADE TÉCNICA DE EXECUÇÃO / EMISSÃO DE CAT</t>
  </si>
  <si>
    <t>TOTAL POR PERÍODO</t>
  </si>
  <si>
    <t>OBS: 1) Todos os itens deverão estar completamente concluídos e dentro das especificações de projetos para medição da etapa.</t>
  </si>
  <si>
    <t>BDI</t>
  </si>
  <si>
    <t>_______________________________________________</t>
  </si>
  <si>
    <t>COMPOSIÇÃO DE BDI</t>
  </si>
  <si>
    <t>DATA BASE: SETOP 03/2022</t>
  </si>
  <si>
    <t>DATA: JUNHO/2022</t>
  </si>
  <si>
    <t>ORGÃO GESTOR: PREFEITURA MUNICIPAL DE CEDRO DO ABAETÉ-MG</t>
  </si>
  <si>
    <t xml:space="preserve"> </t>
  </si>
  <si>
    <t>SEM Desoneração: Digite S(sim) ou N(não)</t>
  </si>
  <si>
    <t>N</t>
  </si>
  <si>
    <t>COM Desoneração: Digite S(sim) ou N(não)</t>
  </si>
  <si>
    <t>S</t>
  </si>
  <si>
    <t>Garantia (G):</t>
  </si>
  <si>
    <t xml:space="preserve"> 0,80% a 1,00%</t>
  </si>
  <si>
    <t>Composição do BDI, intervalos admissíveis e Fórmula de cálculo nos termos do Acórdão 2622/2013 do TCU.</t>
  </si>
  <si>
    <t>Risco (R) :</t>
  </si>
  <si>
    <t>0,97% a 1,27%</t>
  </si>
  <si>
    <t>Desp. financeiras (DF):</t>
  </si>
  <si>
    <t>0,59% a 1,39%</t>
  </si>
  <si>
    <t>Adm. Central (AC):</t>
  </si>
  <si>
    <t>3,00% a 5,50%</t>
  </si>
  <si>
    <t>Lucro (L):</t>
  </si>
  <si>
    <t>6,16% a 8,96%</t>
  </si>
  <si>
    <t>CPRB:</t>
  </si>
  <si>
    <t>Tributos (T):</t>
  </si>
  <si>
    <t>VALORES (R$)</t>
  </si>
  <si>
    <t>DESCRIÇÃO DOS SERVIÇOS</t>
  </si>
  <si>
    <t xml:space="preserve">UND. </t>
  </si>
  <si>
    <t>TOTAL ITEM</t>
  </si>
  <si>
    <t>VALOR TOTAL DO EMPREENDIMENTO</t>
  </si>
  <si>
    <t>PREFEITURA MUNICIPAL DE CEDRO DO ABAETÉ</t>
  </si>
  <si>
    <t>UNITÁRIO S/ BDI</t>
  </si>
  <si>
    <t>UNITÁRIO C/BDI</t>
  </si>
  <si>
    <t>1,50 x 3,00</t>
  </si>
  <si>
    <t xml:space="preserve">ENGENHEIRO CIVIL </t>
  </si>
  <si>
    <t>CREA - 235.527/D</t>
  </si>
  <si>
    <t>OBS: 1) Todos os itens deverão estar completamente concluídos e dentro das especificações de projetos para medição da etapa. Os materiais empregados, deverão rigorosamente seguir as especificações de qualidade destacadas na presente planilha.</t>
  </si>
  <si>
    <t>PREÇO DE CUSTO COM BDI</t>
  </si>
  <si>
    <t>CONTAINER 6,0X2,30X2,82M COM ISOLAMENTO TERMICO</t>
  </si>
  <si>
    <t>89.50.02</t>
  </si>
  <si>
    <t xml:space="preserve">SERVIÇOS PRELIMINARES </t>
  </si>
  <si>
    <t>DEMOLIÇÕES E REMOÇÕES</t>
  </si>
  <si>
    <t>VALOR TOTAL GLOBAL</t>
  </si>
  <si>
    <t>CORTE, DOBRA E MONTAGEM DE AÇO CA-50/60, INCLUSIVE ESPAÇADOR</t>
  </si>
  <si>
    <t>Sudecap (Insumos)</t>
  </si>
  <si>
    <t>Sudecap (Construção)</t>
  </si>
  <si>
    <t>3.1</t>
  </si>
  <si>
    <t>3.2</t>
  </si>
  <si>
    <t>3.3</t>
  </si>
  <si>
    <t>3.4</t>
  </si>
  <si>
    <t>3.5</t>
  </si>
  <si>
    <t>3.6</t>
  </si>
  <si>
    <t>3.7</t>
  </si>
  <si>
    <t>3.8</t>
  </si>
  <si>
    <t>3.9</t>
  </si>
  <si>
    <t>4.1</t>
  </si>
  <si>
    <t>4.2</t>
  </si>
  <si>
    <t>Proj. Estrutural</t>
  </si>
  <si>
    <t>Volume de vigas e blocos</t>
  </si>
  <si>
    <t>INFRAESTRUTURA E SUPERESTRUTURA</t>
  </si>
  <si>
    <t>Área x esp= 3cm</t>
  </si>
  <si>
    <t>Área de blocos, vigas e radier x esp=3cm</t>
  </si>
  <si>
    <t>ED-8471</t>
  </si>
  <si>
    <t>5.1</t>
  </si>
  <si>
    <t>10.1</t>
  </si>
  <si>
    <t>3.10</t>
  </si>
  <si>
    <t>5.2</t>
  </si>
  <si>
    <t>ED-8145</t>
  </si>
  <si>
    <t>1.5</t>
  </si>
  <si>
    <t>BANHEIRO QUIMICO 110X120X230CM COM MANUTENCAO</t>
  </si>
  <si>
    <t>01.10.01</t>
  </si>
  <si>
    <r>
      <t xml:space="preserve"> </t>
    </r>
    <r>
      <rPr>
        <b/>
        <u/>
        <sz val="12"/>
        <color rgb="FF000000"/>
        <rFont val="Arial"/>
        <family val="2"/>
      </rPr>
      <t>1 + (AC + S + G + R)) x (1 + DF) x (1 + L)</t>
    </r>
  </si>
  <si>
    <t>PR. UNIT.</t>
  </si>
  <si>
    <t>FORNECIMENTO DE ANDAIME METÁLICO TUBULAR TIPO TORRE (LOCAÇÃO), INCLUSIVE RODÍZIOS, EXCLUSIVE MONTAGEM E DESMONTAGEM</t>
  </si>
  <si>
    <t>ED-9076</t>
  </si>
  <si>
    <t>1.7</t>
  </si>
  <si>
    <t>mxmês</t>
  </si>
  <si>
    <t>MONTAGEM E DESMONTAGEM DE ANDAIME METÁLICO TUBULAR TIPO TORRE, EXCLUSIVE FORNECIMENTO DO ANDAIME</t>
  </si>
  <si>
    <t xml:space="preserve">ED-9077 </t>
  </si>
  <si>
    <t>perímetro</t>
  </si>
  <si>
    <t xml:space="preserve">JUNTA DE DILATAÇÃO COM ISOPOR 20 MM APLICADA NOS MUROS </t>
  </si>
  <si>
    <t>JOÃO RAFAEL BUENO DE MORAIS LOPES
CREA-MG:235527/D</t>
  </si>
  <si>
    <t>DATA = JUNHO DE 2024</t>
  </si>
  <si>
    <t>LOCAL: RUA VIGILATO DOS SANTOS ROSA, CEDRO DO ABAETÉ - MG</t>
  </si>
  <si>
    <t>DEMOLIÇÃO MANUAL DE CONCRETOARMADO INCLUSIVE AFASTAMENTO</t>
  </si>
  <si>
    <t>02.13.04</t>
  </si>
  <si>
    <t xml:space="preserve">LOCAÇAO DE GABARITO DE OBRA </t>
  </si>
  <si>
    <t>01.17.01</t>
  </si>
  <si>
    <r>
      <rPr>
        <b/>
        <sz val="12"/>
        <color theme="1"/>
        <rFont val="Arial"/>
        <family val="2"/>
      </rPr>
      <t>Muros:</t>
    </r>
    <r>
      <rPr>
        <sz val="12"/>
        <color theme="1"/>
        <rFont val="Arial"/>
        <family val="2"/>
      </rPr>
      <t xml:space="preserve">
EXTENSÃO = 33,5 metros
</t>
    </r>
  </si>
  <si>
    <t>DRENO BARBACÃ DN 50 MM E COMPRIMENTO DE 0,50M</t>
  </si>
  <si>
    <t>05.12.01</t>
  </si>
  <si>
    <t>Perimetro do muro pela altura média a partir de 2 metros
(2x25) 
Consumo de duas unidades de tubos por metro</t>
  </si>
  <si>
    <t>MOBILIZAÇAO E DESMOBILIZAÇAO DE EQUIPAMENTO</t>
  </si>
  <si>
    <t>04.04.01</t>
  </si>
  <si>
    <t xml:space="preserve">Uma mobilização e uma desmobilização
</t>
  </si>
  <si>
    <t>60 DIAS</t>
  </si>
  <si>
    <t>ESTACA TRADO MECANIZADO, SEM FLUIDO ESTABILIZANTE, D=40CM, INCL. CONCRETO, EXCL. ARMAÇÃO</t>
  </si>
  <si>
    <t>04.04.08</t>
  </si>
  <si>
    <r>
      <rPr>
        <b/>
        <sz val="12"/>
        <color theme="1"/>
        <rFont val="Arial"/>
        <family val="2"/>
      </rPr>
      <t>D=40cm</t>
    </r>
    <r>
      <rPr>
        <sz val="12"/>
        <color theme="1"/>
        <rFont val="Arial"/>
        <family val="2"/>
      </rPr>
      <t xml:space="preserve">
21un de 7m - V=20,32m³
2un de 6m - V= 1,66m³
</t>
    </r>
  </si>
  <si>
    <t>Comprimento das estacas</t>
  </si>
  <si>
    <t>Perímetro do muro</t>
  </si>
  <si>
    <t xml:space="preserve">Trechos que desabaram e mãos francesas existentes:
((3,5x1,5)x2)
A x L x quantidade de lados 
</t>
  </si>
  <si>
    <r>
      <rPr>
        <b/>
        <sz val="12"/>
        <color theme="1"/>
        <rFont val="Arial"/>
        <family val="2"/>
      </rPr>
      <t xml:space="preserve">Soma dos volumes dos blocos
Volume dos Blocos: Largura x Comprimento x Altura 
</t>
    </r>
    <r>
      <rPr>
        <sz val="12"/>
        <color theme="1"/>
        <rFont val="Arial"/>
        <family val="2"/>
      </rPr>
      <t xml:space="preserve">BM-1=BM-2=BM-3=BM-4=BM-5=BM-6=BM-7: (0,7*2,5*0,9)*7= 11,03m³ 
BM-8=BM-9: (0,7*2,3*0,8)*2= 2,58m³
SM-16: 1,1*1,1*0,5= 0,61m³
SM-18: 0,9*0,9*0,5= 0,41m³
SM-19: 0,6*0,6*0,3= 0,11m³
</t>
    </r>
    <r>
      <rPr>
        <b/>
        <sz val="12"/>
        <color theme="1"/>
        <rFont val="Arial"/>
        <family val="2"/>
      </rPr>
      <t xml:space="preserve">
Soma dos volumes das vigas </t>
    </r>
    <r>
      <rPr>
        <sz val="12"/>
        <color theme="1"/>
        <rFont val="Arial"/>
        <family val="2"/>
      </rPr>
      <t xml:space="preserve">
Volume das vigas: Largura x Comprimento x Altura
VB-1: 0,2*0,5*8,2= 0,82m³
VB-2: 0,2*0,4*8,1= 0,65m³
VB-3: 0,2*0,4*11,35= 0,91m³
VB-4: 0,2*0,4*5,05= 0,4m³
VB-101: 0,2*0,5*4,2= 0,42m³
VB-102: 0,2*0,5*8,1= 0,81m³
VB-103: 0,2*0,4*4,05=0,32m³
VB-104: 0,2*0,4*4,15= 0,33m³
VB-105: 0,2*0,4*5,05= 0,4m³
VB-201: 0,2*0,5*4,3= 0,43m³
VB-202: 0,2*0,5*4,2= 0,42m³
VB-203: 0,2*0,4*4,25= 0,34m³
VB-204: 0,2*0,4*4,1= 0,33m³
VB-205: 0,2*0,4*4,05= 0,32m³
VB-206: 0,2*0,4*4,15= 0,33m³
VB-207: 0,2*0,5*3,8=0,38m³
VB-301: 0,2*0,5*4,25= 0,43m³
VB-302: 0,2*0,5*4,2=0,42m³
VB-303: 0,2*0,4*4,25= 0,34m³
VB-304: 0,2*0,4*4,1= 0,33m³
VB-305: 0,2*0,4*4,05= 0,32m³
VB-401:0,2*0,5*4,3= 0,43m³</t>
    </r>
  </si>
  <si>
    <t>ESCAVAÇÃO MANUAL DE VALA COM PROFUNDIDADE MENOR OU IGUAL A 1,30m, INCLUSIVE DESCARGA LATERAL</t>
  </si>
  <si>
    <t>Sinapi (composição)</t>
  </si>
  <si>
    <r>
      <rPr>
        <b/>
        <sz val="12"/>
        <color theme="1"/>
        <rFont val="Arial"/>
        <family val="2"/>
      </rPr>
      <t>Vigas baldrame / Largura X Comprimento:</t>
    </r>
    <r>
      <rPr>
        <sz val="12"/>
        <color theme="1"/>
        <rFont val="Arial"/>
        <family val="2"/>
      </rPr>
      <t xml:space="preserve">
=0,2*8,2+0,2*8,1+0,2*11,35+0,2*5,05+0,2*4,2+0,2*8,1+0,2*4,05+0,2*4,15+0,2*5,05+0,2*4,3+0,2*4,2+0,2*4,25+0,2*4,1+0,2*4,05+0,2*4,15+0,2*3,8+0,2*4,25+0,2*4,2+0,2*4,25+0,2*4,1+0,2*4,05+0,2*4,3</t>
    </r>
  </si>
  <si>
    <t>Área de vigas</t>
  </si>
  <si>
    <t>Vigas e pilares exceto alvenarias</t>
  </si>
  <si>
    <r>
      <rPr>
        <b/>
        <sz val="12"/>
        <color theme="1"/>
        <rFont val="Arial"/>
        <family val="2"/>
      </rPr>
      <t xml:space="preserve">Volume dos Blocos: Largura x Comprimento x Altura 
</t>
    </r>
    <r>
      <rPr>
        <sz val="12"/>
        <color theme="1"/>
        <rFont val="Arial"/>
        <family val="2"/>
      </rPr>
      <t xml:space="preserve">BM-1=BM-2=BM-3=BM-4=BM-5=BM-6=BM-7: (0,7*2,5*0,9)*7= 11,03m³ 
BM-8=BM-9: (0,7*2,3*0,8)*2= 2,58m³
SM-16: 1,1*1,1*0,5= 0,61m³
SM-18: 0,9*0,9*0,5= 0,41m³
SM-19: 0,6*0,6*0,3= 0,11m
</t>
    </r>
    <r>
      <rPr>
        <b/>
        <sz val="12"/>
        <color theme="1"/>
        <rFont val="Arial"/>
        <family val="2"/>
      </rPr>
      <t xml:space="preserve">
Vigas baldrame / Largura X Comprimento:</t>
    </r>
    <r>
      <rPr>
        <sz val="12"/>
        <color theme="1"/>
        <rFont val="Arial"/>
        <family val="2"/>
      </rPr>
      <t xml:space="preserve">
=0,2*8,2+0,2*8,1+0,2*11,35+0,2*5,05+0,2*4,2+0,2*8,1+0,2*4,05+0,2*4,15+0,2*5,05+0,2*4,3+0,2*4,2+0,2*4,25+0,2*4,1+0,2*4,05+0,2*4,15+0,2*3,8+0,2*4,25+0,2*4,2+0,2*4,25+0,2*4,1+0,2*4,05+0,2*4,3</t>
    </r>
  </si>
  <si>
    <t>05.05.01</t>
  </si>
  <si>
    <t>Estruturas exceto alvenaria em blocos de concreto</t>
  </si>
  <si>
    <t>Altura do trecho da junta</t>
  </si>
  <si>
    <t>3,4 metros</t>
  </si>
  <si>
    <t>ALVENARIA DE VEDAÇÃO COM BLOCO DE CONCRETO, ESP. 20CM, APARENTE, INCLUSIVE ARGAMASSA PARA ASSENTAMENTO</t>
  </si>
  <si>
    <t>40.30.32</t>
  </si>
  <si>
    <t>CALÇADA</t>
  </si>
  <si>
    <r>
      <rPr>
        <b/>
        <sz val="12"/>
        <color theme="1"/>
        <rFont val="Arial"/>
        <family val="2"/>
      </rPr>
      <t xml:space="preserve">Trecho da calada a recompor
Largura X Comprimento
</t>
    </r>
    <r>
      <rPr>
        <sz val="12"/>
        <color theme="1"/>
        <rFont val="Arial"/>
        <family val="2"/>
      </rPr>
      <t>1,5*6,5</t>
    </r>
  </si>
  <si>
    <t>EXECUÇÃO DE PASSEIO (CALÇADA) OU PISO DE CONCRETO COM CONCRETO MOLDADO IN LOCO, USINADO C25, ACABAMENTO CONVENCIONAL, NÃO ARMADO</t>
  </si>
  <si>
    <r>
      <rPr>
        <b/>
        <sz val="12"/>
        <color theme="1"/>
        <rFont val="Arial"/>
        <family val="2"/>
      </rPr>
      <t xml:space="preserve">Trecho da calada a recompor
Largura X Comprimento
</t>
    </r>
    <r>
      <rPr>
        <sz val="12"/>
        <color theme="1"/>
        <rFont val="Arial"/>
        <family val="2"/>
      </rPr>
      <t>1,5*6,5*0,03</t>
    </r>
  </si>
  <si>
    <t>Área x esp= 8cm</t>
  </si>
  <si>
    <t>área do gabarito</t>
  </si>
  <si>
    <t>Comprimento X Largura
33,5*1,5</t>
  </si>
  <si>
    <t>((25+2,05))*2un</t>
  </si>
  <si>
    <t>((25+2,05))*2un*2meses</t>
  </si>
  <si>
    <t xml:space="preserve">FÔRMA E DESFORMA DE TÁBUA E SARRAFO, REAPROVEITAMENTO (5X), </t>
  </si>
  <si>
    <t xml:space="preserve">RO-42417 </t>
  </si>
  <si>
    <t xml:space="preserve">FORNECIMENTO DE CONCRETO ESTRUTURAL, COM FCK 25MPA, INCLUSIVE LANÇAMENTO, ADENSAMENTO E ACABAMENTO </t>
  </si>
  <si>
    <t>RECOMPOSIÇÃO DE MUROS DE CONTENÇÃO DANIFICADOS</t>
  </si>
  <si>
    <t>Data-Base: SINAPI/JUN 2024 - SETOP/AGO 2023 - SUDECAP/MAI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</si>
</sst>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quot;\ #,##0.00"/>
    <numFmt numFmtId="165" formatCode="_(* #,##0.00_);_(* \(#,##0.00\);_(* &quot;-&quot;??_);_(@_)"/>
  </numFmts>
  <fonts count="29" x14ac:knownFonts="1">
    <font>
      <sz val="11"/>
      <color theme="1"/>
      <name val="Calibri"/>
      <family val="2"/>
      <scheme val="minor"/>
    </font>
    <font>
      <b/>
      <sz val="12"/>
      <color theme="1"/>
      <name val="Calibri"/>
      <family val="2"/>
      <scheme val="minor"/>
    </font>
    <font>
      <b/>
      <sz val="12"/>
      <name val="Arial"/>
      <family val="2"/>
    </font>
    <font>
      <b/>
      <sz val="10"/>
      <name val="Arial"/>
      <family val="2"/>
    </font>
    <font>
      <b/>
      <sz val="9"/>
      <name val="Arial"/>
      <family val="2"/>
    </font>
    <font>
      <sz val="9"/>
      <color indexed="8"/>
      <name val="Arial"/>
      <family val="2"/>
    </font>
    <font>
      <sz val="10"/>
      <name val="Arial"/>
      <family val="2"/>
    </font>
    <font>
      <sz val="9"/>
      <color theme="1"/>
      <name val="Arial"/>
      <family val="2"/>
    </font>
    <font>
      <sz val="14"/>
      <name val="Arial"/>
      <family val="2"/>
    </font>
    <font>
      <sz val="11"/>
      <color theme="1"/>
      <name val="Calibri"/>
      <family val="2"/>
      <scheme val="minor"/>
    </font>
    <font>
      <b/>
      <sz val="6"/>
      <color theme="1"/>
      <name val="Calibri"/>
      <family val="2"/>
      <scheme val="minor"/>
    </font>
    <font>
      <sz val="10"/>
      <color theme="1"/>
      <name val="Calibri"/>
      <family val="2"/>
      <scheme val="minor"/>
    </font>
    <font>
      <sz val="8"/>
      <name val="Calibri"/>
      <family val="2"/>
      <scheme val="minor"/>
    </font>
    <font>
      <u/>
      <sz val="11"/>
      <color theme="10"/>
      <name val="Calibri"/>
      <family val="2"/>
      <scheme val="minor"/>
    </font>
    <font>
      <sz val="9"/>
      <name val="Arial"/>
      <family val="2"/>
    </font>
    <font>
      <b/>
      <sz val="14"/>
      <name val="Arial"/>
      <family val="2"/>
    </font>
    <font>
      <b/>
      <sz val="8"/>
      <name val="Arial"/>
      <family val="2"/>
    </font>
    <font>
      <b/>
      <sz val="16"/>
      <name val="Arial"/>
      <family val="2"/>
    </font>
    <font>
      <sz val="11"/>
      <name val="Arial"/>
      <family val="2"/>
    </font>
    <font>
      <b/>
      <sz val="11"/>
      <name val="Arial"/>
      <family val="2"/>
    </font>
    <font>
      <b/>
      <sz val="12"/>
      <color theme="1"/>
      <name val="Arial"/>
      <family val="2"/>
    </font>
    <font>
      <b/>
      <sz val="12"/>
      <color rgb="FF000000"/>
      <name val="Arial"/>
      <family val="2"/>
    </font>
    <font>
      <sz val="12"/>
      <color theme="1"/>
      <name val="Calibri"/>
      <family val="2"/>
      <scheme val="minor"/>
    </font>
    <font>
      <sz val="12"/>
      <color rgb="FF000000"/>
      <name val="Arial"/>
      <family val="2"/>
    </font>
    <font>
      <b/>
      <u/>
      <sz val="12"/>
      <color rgb="FF000000"/>
      <name val="Arial"/>
      <family val="2"/>
    </font>
    <font>
      <sz val="12"/>
      <color theme="1"/>
      <name val="Arial"/>
      <family val="2"/>
    </font>
    <font>
      <sz val="12"/>
      <name val="Arial"/>
      <family val="2"/>
    </font>
    <font>
      <sz val="12"/>
      <color rgb="FFFF0000"/>
      <name val="Calibri"/>
      <family val="2"/>
      <scheme val="minor"/>
    </font>
    <font>
      <u/>
      <sz val="12"/>
      <color theme="10"/>
      <name val="Arial"/>
      <family val="2"/>
    </font>
  </fonts>
  <fills count="10">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indexed="43"/>
        <bgColor indexed="64"/>
      </patternFill>
    </fill>
    <fill>
      <patternFill patternType="solid">
        <fgColor indexed="22"/>
        <bgColor indexed="64"/>
      </patternFill>
    </fill>
    <fill>
      <patternFill patternType="solid">
        <fgColor rgb="FFFFFF99"/>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s>
  <cellStyleXfs count="5">
    <xf numFmtId="0" fontId="0" fillId="0" borderId="0"/>
    <xf numFmtId="44" fontId="9" fillId="0" borderId="0" applyFont="0" applyFill="0" applyBorder="0" applyAlignment="0" applyProtection="0"/>
    <xf numFmtId="0" fontId="13" fillId="0" borderId="0" applyNumberFormat="0" applyFill="0" applyBorder="0" applyAlignment="0" applyProtection="0"/>
    <xf numFmtId="9" fontId="9" fillId="0" borderId="0" applyFont="0" applyFill="0" applyBorder="0" applyAlignment="0" applyProtection="0"/>
    <xf numFmtId="43" fontId="9" fillId="0" borderId="0" applyFont="0" applyFill="0" applyBorder="0" applyAlignment="0" applyProtection="0"/>
  </cellStyleXfs>
  <cellXfs count="333">
    <xf numFmtId="0" fontId="0" fillId="0" borderId="0" xfId="0"/>
    <xf numFmtId="0" fontId="4" fillId="5" borderId="14" xfId="0" applyFont="1" applyFill="1" applyBorder="1" applyAlignment="1">
      <alignment vertical="center"/>
    </xf>
    <xf numFmtId="10" fontId="6" fillId="3" borderId="51" xfId="0" applyNumberFormat="1"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47" xfId="0" applyFont="1" applyFill="1" applyBorder="1" applyAlignment="1">
      <alignment horizontal="center" vertical="center" wrapText="1"/>
    </xf>
    <xf numFmtId="0" fontId="3" fillId="3" borderId="47" xfId="0" applyFont="1" applyFill="1" applyBorder="1" applyAlignment="1">
      <alignment horizontal="center" vertical="center"/>
    </xf>
    <xf numFmtId="0" fontId="3" fillId="3" borderId="48" xfId="0" applyFont="1" applyFill="1" applyBorder="1" applyAlignment="1">
      <alignment horizontal="center" vertical="center" wrapText="1"/>
    </xf>
    <xf numFmtId="0" fontId="4" fillId="3" borderId="21" xfId="0" applyFont="1" applyFill="1" applyBorder="1" applyAlignment="1">
      <alignment horizontal="center" vertical="center"/>
    </xf>
    <xf numFmtId="0" fontId="4" fillId="3" borderId="67" xfId="0" applyFont="1" applyFill="1" applyBorder="1" applyAlignment="1">
      <alignment horizontal="center" vertical="center"/>
    </xf>
    <xf numFmtId="0" fontId="0" fillId="0" borderId="0" xfId="0" applyAlignment="1">
      <alignment horizontal="center" vertical="center"/>
    </xf>
    <xf numFmtId="10" fontId="14" fillId="5" borderId="51" xfId="0" applyNumberFormat="1" applyFont="1" applyFill="1" applyBorder="1" applyAlignment="1">
      <alignment horizontal="right" vertical="center"/>
    </xf>
    <xf numFmtId="10" fontId="14" fillId="5" borderId="59" xfId="0" applyNumberFormat="1" applyFont="1" applyFill="1" applyBorder="1" applyAlignment="1">
      <alignment horizontal="right" vertical="center"/>
    </xf>
    <xf numFmtId="0" fontId="0" fillId="0" borderId="0" xfId="0" applyAlignment="1">
      <alignment vertical="center"/>
    </xf>
    <xf numFmtId="49" fontId="5" fillId="3" borderId="62" xfId="0" applyNumberFormat="1" applyFont="1" applyFill="1" applyBorder="1" applyAlignment="1">
      <alignment horizontal="center" vertical="center" wrapText="1"/>
    </xf>
    <xf numFmtId="49" fontId="5" fillId="3" borderId="63" xfId="0" applyNumberFormat="1" applyFont="1" applyFill="1" applyBorder="1" applyAlignment="1">
      <alignment horizontal="center" vertical="center" wrapText="1"/>
    </xf>
    <xf numFmtId="164" fontId="7" fillId="3" borderId="57" xfId="0" applyNumberFormat="1" applyFont="1" applyFill="1" applyBorder="1" applyAlignment="1">
      <alignment horizontal="center" vertical="center" wrapText="1"/>
    </xf>
    <xf numFmtId="164" fontId="5" fillId="5" borderId="57" xfId="0" applyNumberFormat="1" applyFont="1" applyFill="1" applyBorder="1" applyAlignment="1">
      <alignment vertical="center" wrapText="1"/>
    </xf>
    <xf numFmtId="49" fontId="5" fillId="3" borderId="64" xfId="0" applyNumberFormat="1" applyFont="1" applyFill="1" applyBorder="1" applyAlignment="1">
      <alignment horizontal="center" vertical="center" wrapText="1"/>
    </xf>
    <xf numFmtId="10" fontId="5" fillId="5" borderId="58" xfId="0" applyNumberFormat="1" applyFont="1" applyFill="1" applyBorder="1" applyAlignment="1">
      <alignment vertical="center" wrapText="1"/>
    </xf>
    <xf numFmtId="49" fontId="5" fillId="3" borderId="65" xfId="0" applyNumberFormat="1" applyFont="1" applyFill="1" applyBorder="1" applyAlignment="1">
      <alignment horizontal="center" vertical="center" wrapText="1"/>
    </xf>
    <xf numFmtId="164" fontId="7" fillId="3" borderId="60" xfId="0" applyNumberFormat="1" applyFont="1" applyFill="1" applyBorder="1" applyAlignment="1">
      <alignment horizontal="center" vertical="center" wrapText="1"/>
    </xf>
    <xf numFmtId="10" fontId="5" fillId="5" borderId="56" xfId="0" applyNumberFormat="1" applyFont="1" applyFill="1" applyBorder="1" applyAlignment="1">
      <alignment vertical="center" wrapText="1"/>
    </xf>
    <xf numFmtId="10" fontId="5" fillId="5" borderId="61" xfId="0" applyNumberFormat="1" applyFont="1" applyFill="1" applyBorder="1" applyAlignment="1">
      <alignment vertical="center" wrapText="1"/>
    </xf>
    <xf numFmtId="10" fontId="5" fillId="5" borderId="5" xfId="0" applyNumberFormat="1" applyFont="1" applyFill="1" applyBorder="1" applyAlignment="1">
      <alignment vertical="center" wrapText="1"/>
    </xf>
    <xf numFmtId="0" fontId="10" fillId="0" borderId="0" xfId="0" applyFont="1" applyAlignment="1">
      <alignment vertical="center" wrapText="1"/>
    </xf>
    <xf numFmtId="0" fontId="8" fillId="3" borderId="0" xfId="0" applyFont="1" applyFill="1" applyAlignment="1">
      <alignment horizontal="center" vertical="center"/>
    </xf>
    <xf numFmtId="0" fontId="0" fillId="0" borderId="21" xfId="0" applyBorder="1"/>
    <xf numFmtId="0" fontId="0" fillId="0" borderId="46" xfId="0" applyBorder="1"/>
    <xf numFmtId="0" fontId="0" fillId="0" borderId="43" xfId="0" applyBorder="1"/>
    <xf numFmtId="0" fontId="3" fillId="0" borderId="18" xfId="0" applyFont="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vertical="center" wrapText="1"/>
    </xf>
    <xf numFmtId="0" fontId="16" fillId="0" borderId="1" xfId="0" applyFont="1" applyBorder="1" applyAlignment="1">
      <alignment vertical="center"/>
    </xf>
    <xf numFmtId="43" fontId="16" fillId="0" borderId="1" xfId="4" applyFont="1" applyBorder="1" applyAlignment="1">
      <alignment horizontal="right" vertical="center"/>
    </xf>
    <xf numFmtId="10" fontId="16" fillId="0" borderId="1" xfId="3" applyNumberFormat="1" applyFont="1" applyBorder="1" applyAlignment="1">
      <alignment horizontal="left" vertical="center"/>
    </xf>
    <xf numFmtId="0" fontId="16" fillId="0" borderId="22" xfId="0" applyFont="1" applyBorder="1" applyAlignment="1">
      <alignment vertical="center"/>
    </xf>
    <xf numFmtId="43" fontId="16" fillId="0" borderId="0" xfId="4" applyFont="1" applyBorder="1" applyAlignment="1">
      <alignment horizontal="right" vertical="center"/>
    </xf>
    <xf numFmtId="9" fontId="16" fillId="0" borderId="0" xfId="3" applyFont="1" applyBorder="1" applyAlignment="1">
      <alignment horizontal="left" vertical="center"/>
    </xf>
    <xf numFmtId="10" fontId="3" fillId="7" borderId="1" xfId="0" applyNumberFormat="1" applyFont="1" applyFill="1" applyBorder="1" applyAlignment="1">
      <alignment horizontal="center"/>
    </xf>
    <xf numFmtId="10" fontId="3" fillId="0" borderId="22" xfId="3" applyNumberFormat="1" applyFont="1" applyFill="1" applyBorder="1" applyAlignment="1"/>
    <xf numFmtId="10" fontId="0" fillId="0" borderId="1" xfId="0" applyNumberFormat="1" applyBorder="1" applyAlignment="1">
      <alignment horizontal="center"/>
    </xf>
    <xf numFmtId="0" fontId="4" fillId="8" borderId="26" xfId="0" applyFont="1" applyFill="1" applyBorder="1" applyAlignment="1">
      <alignment vertical="center" textRotation="90"/>
    </xf>
    <xf numFmtId="0" fontId="16" fillId="8" borderId="1" xfId="0" applyFont="1" applyFill="1" applyBorder="1" applyAlignment="1">
      <alignment vertical="center"/>
    </xf>
    <xf numFmtId="0" fontId="16" fillId="8" borderId="5" xfId="0" applyFont="1" applyFill="1" applyBorder="1" applyAlignment="1">
      <alignment vertical="center"/>
    </xf>
    <xf numFmtId="0" fontId="4" fillId="8" borderId="5" xfId="0" applyFont="1" applyFill="1" applyBorder="1" applyAlignment="1">
      <alignment vertical="center"/>
    </xf>
    <xf numFmtId="0" fontId="4" fillId="8" borderId="26" xfId="0" applyFont="1" applyFill="1" applyBorder="1" applyAlignment="1">
      <alignment horizontal="center" vertical="center"/>
    </xf>
    <xf numFmtId="0" fontId="16" fillId="8" borderId="1" xfId="0" applyFont="1" applyFill="1" applyBorder="1" applyAlignment="1">
      <alignment horizontal="center" vertical="center"/>
    </xf>
    <xf numFmtId="0" fontId="3" fillId="0" borderId="26"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165" fontId="0" fillId="0" borderId="1" xfId="0" applyNumberFormat="1" applyBorder="1" applyAlignment="1">
      <alignment vertical="center" wrapText="1"/>
    </xf>
    <xf numFmtId="4" fontId="3" fillId="9" borderId="1" xfId="0" applyNumberFormat="1" applyFont="1" applyFill="1" applyBorder="1" applyAlignment="1">
      <alignment horizontal="right"/>
    </xf>
    <xf numFmtId="0" fontId="0" fillId="0" borderId="20" xfId="0" applyBorder="1"/>
    <xf numFmtId="0" fontId="14"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vertical="top"/>
    </xf>
    <xf numFmtId="0" fontId="0" fillId="0" borderId="33" xfId="0" applyBorder="1"/>
    <xf numFmtId="164" fontId="3" fillId="9" borderId="1" xfId="0" applyNumberFormat="1" applyFont="1" applyFill="1" applyBorder="1" applyAlignment="1">
      <alignment horizontal="right"/>
    </xf>
    <xf numFmtId="164" fontId="3" fillId="9" borderId="22" xfId="0" applyNumberFormat="1" applyFont="1" applyFill="1" applyBorder="1" applyAlignment="1">
      <alignment horizontal="right"/>
    </xf>
    <xf numFmtId="164" fontId="0" fillId="0" borderId="1" xfId="1" applyNumberFormat="1" applyFont="1" applyFill="1" applyBorder="1" applyAlignment="1">
      <alignment vertical="center" wrapText="1"/>
    </xf>
    <xf numFmtId="164" fontId="0" fillId="0" borderId="1" xfId="1" applyNumberFormat="1" applyFont="1" applyBorder="1" applyAlignment="1">
      <alignment horizontal="right" vertical="center"/>
    </xf>
    <xf numFmtId="164" fontId="3" fillId="0" borderId="22" xfId="1" applyNumberFormat="1" applyFont="1" applyBorder="1" applyAlignment="1">
      <alignment horizontal="right" vertical="center"/>
    </xf>
    <xf numFmtId="0" fontId="1" fillId="0" borderId="33" xfId="0" applyFont="1" applyBorder="1" applyAlignment="1">
      <alignment horizontal="left" vertical="center" wrapText="1"/>
    </xf>
    <xf numFmtId="0" fontId="1" fillId="0" borderId="43" xfId="0" applyFont="1" applyBorder="1" applyAlignment="1">
      <alignment horizontal="left" vertical="center" wrapText="1"/>
    </xf>
    <xf numFmtId="164" fontId="7" fillId="3" borderId="67" xfId="0" applyNumberFormat="1" applyFont="1" applyFill="1" applyBorder="1" applyAlignment="1">
      <alignment horizontal="center" vertical="center" wrapText="1"/>
    </xf>
    <xf numFmtId="10" fontId="3" fillId="9" borderId="1" xfId="0" applyNumberFormat="1" applyFont="1" applyFill="1" applyBorder="1" applyAlignment="1">
      <alignment horizontal="center"/>
    </xf>
    <xf numFmtId="4" fontId="16" fillId="0" borderId="1" xfId="0" applyNumberFormat="1" applyFont="1" applyBorder="1" applyAlignment="1">
      <alignment horizontal="left" vertical="center" wrapText="1"/>
    </xf>
    <xf numFmtId="164" fontId="0" fillId="0" borderId="0" xfId="0" applyNumberFormat="1"/>
    <xf numFmtId="0" fontId="3" fillId="3" borderId="12"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22" xfId="0" applyFont="1" applyFill="1" applyBorder="1" applyAlignment="1">
      <alignment horizontal="center" vertical="center"/>
    </xf>
    <xf numFmtId="0" fontId="0" fillId="0" borderId="1" xfId="0" applyBorder="1" applyAlignment="1">
      <alignment horizontal="center" vertical="center" wrapText="1"/>
    </xf>
    <xf numFmtId="0" fontId="22" fillId="0" borderId="0" xfId="0" applyFont="1"/>
    <xf numFmtId="0" fontId="21" fillId="2" borderId="12" xfId="0" applyFont="1" applyFill="1" applyBorder="1" applyAlignment="1">
      <alignment horizontal="center" vertical="center" wrapText="1"/>
    </xf>
    <xf numFmtId="0" fontId="26" fillId="0" borderId="24" xfId="0" applyFont="1" applyBorder="1" applyAlignment="1">
      <alignment horizontal="center" vertical="center" wrapText="1"/>
    </xf>
    <xf numFmtId="0" fontId="26"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6" fillId="0" borderId="5" xfId="0" applyFont="1" applyBorder="1" applyAlignment="1">
      <alignment horizontal="left" vertical="center" wrapText="1"/>
    </xf>
    <xf numFmtId="2" fontId="26" fillId="0" borderId="37" xfId="0" applyNumberFormat="1" applyFont="1" applyBorder="1" applyAlignment="1">
      <alignment horizontal="center" vertical="center" wrapText="1"/>
    </xf>
    <xf numFmtId="0" fontId="26" fillId="0" borderId="26" xfId="0" applyFont="1" applyBorder="1" applyAlignment="1">
      <alignment horizontal="center" vertical="center" wrapText="1"/>
    </xf>
    <xf numFmtId="0" fontId="2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6" fillId="0" borderId="1" xfId="0" applyFont="1" applyBorder="1" applyAlignment="1">
      <alignment horizontal="left" vertical="center" wrapText="1"/>
    </xf>
    <xf numFmtId="2" fontId="26" fillId="0" borderId="22" xfId="0" applyNumberFormat="1" applyFont="1" applyBorder="1" applyAlignment="1">
      <alignment horizontal="center" vertical="center" wrapText="1"/>
    </xf>
    <xf numFmtId="2" fontId="26" fillId="0" borderId="25" xfId="0" applyNumberFormat="1" applyFont="1" applyBorder="1" applyAlignment="1">
      <alignment horizontal="center" vertical="center" wrapText="1"/>
    </xf>
    <xf numFmtId="0" fontId="22" fillId="0" borderId="0" xfId="0" applyFont="1" applyAlignment="1">
      <alignment horizontal="center"/>
    </xf>
    <xf numFmtId="0" fontId="27" fillId="0" borderId="0" xfId="0" applyFont="1"/>
    <xf numFmtId="10" fontId="21" fillId="0" borderId="22" xfId="0" applyNumberFormat="1" applyFont="1" applyBorder="1" applyAlignment="1">
      <alignment horizontal="center" vertical="center" wrapText="1"/>
    </xf>
    <xf numFmtId="0" fontId="20" fillId="0" borderId="27" xfId="0" applyFont="1" applyBorder="1" applyAlignment="1">
      <alignment horizontal="center"/>
    </xf>
    <xf numFmtId="0" fontId="20" fillId="0" borderId="23" xfId="0" applyFont="1" applyBorder="1" applyAlignment="1">
      <alignment horizontal="center"/>
    </xf>
    <xf numFmtId="0" fontId="2" fillId="2" borderId="12" xfId="0" applyFont="1" applyFill="1" applyBorder="1" applyAlignment="1">
      <alignment horizontal="center" vertical="center" wrapText="1"/>
    </xf>
    <xf numFmtId="164" fontId="2" fillId="2" borderId="47"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67" xfId="0" applyNumberFormat="1" applyFont="1" applyFill="1" applyBorder="1" applyAlignment="1">
      <alignment horizontal="right" vertical="center" wrapText="1"/>
    </xf>
    <xf numFmtId="0" fontId="26" fillId="0" borderId="0" xfId="0" applyFont="1"/>
    <xf numFmtId="164" fontId="26" fillId="0" borderId="36" xfId="1" applyNumberFormat="1" applyFont="1" applyBorder="1" applyAlignment="1">
      <alignment horizontal="right" vertical="center" wrapText="1"/>
    </xf>
    <xf numFmtId="164" fontId="26" fillId="0" borderId="36" xfId="0" applyNumberFormat="1" applyFont="1" applyBorder="1" applyAlignment="1">
      <alignment horizontal="right" vertical="center" wrapText="1"/>
    </xf>
    <xf numFmtId="164" fontId="26" fillId="0" borderId="51" xfId="0" applyNumberFormat="1" applyFont="1" applyBorder="1" applyAlignment="1">
      <alignment horizontal="right" vertical="center"/>
    </xf>
    <xf numFmtId="164" fontId="26" fillId="0" borderId="50" xfId="0" applyNumberFormat="1" applyFont="1" applyBorder="1" applyAlignment="1">
      <alignment horizontal="right" vertical="center"/>
    </xf>
    <xf numFmtId="2" fontId="26" fillId="0" borderId="1" xfId="0" applyNumberFormat="1" applyFont="1" applyBorder="1" applyAlignment="1">
      <alignment horizontal="center" vertical="center" wrapText="1"/>
    </xf>
    <xf numFmtId="164" fontId="26" fillId="0" borderId="1" xfId="1" applyNumberFormat="1" applyFont="1" applyBorder="1" applyAlignment="1">
      <alignment horizontal="right" vertical="center" wrapText="1"/>
    </xf>
    <xf numFmtId="164" fontId="26" fillId="0" borderId="1" xfId="0" applyNumberFormat="1" applyFont="1" applyBorder="1" applyAlignment="1">
      <alignment horizontal="right" vertical="center" wrapText="1"/>
    </xf>
    <xf numFmtId="164" fontId="26" fillId="0" borderId="1" xfId="0" applyNumberFormat="1" applyFont="1" applyBorder="1" applyAlignment="1">
      <alignment horizontal="right" vertical="center"/>
    </xf>
    <xf numFmtId="164" fontId="26" fillId="0" borderId="22" xfId="0" applyNumberFormat="1" applyFont="1" applyBorder="1" applyAlignment="1">
      <alignment horizontal="right" vertical="center"/>
    </xf>
    <xf numFmtId="164" fontId="26" fillId="0" borderId="5" xfId="1" applyNumberFormat="1" applyFont="1" applyBorder="1" applyAlignment="1">
      <alignment horizontal="right" vertical="center" wrapText="1"/>
    </xf>
    <xf numFmtId="164" fontId="26" fillId="0" borderId="5" xfId="0" applyNumberFormat="1" applyFont="1" applyBorder="1" applyAlignment="1">
      <alignment horizontal="right" vertical="center" wrapText="1"/>
    </xf>
    <xf numFmtId="0" fontId="2" fillId="2" borderId="16" xfId="0" applyFont="1" applyFill="1" applyBorder="1" applyAlignment="1">
      <alignment horizontal="center" vertical="center" wrapText="1"/>
    </xf>
    <xf numFmtId="164" fontId="2" fillId="2" borderId="34" xfId="0" applyNumberFormat="1" applyFont="1" applyFill="1" applyBorder="1" applyAlignment="1">
      <alignment horizontal="right" vertical="center" wrapText="1"/>
    </xf>
    <xf numFmtId="164" fontId="26" fillId="0" borderId="66" xfId="1" applyNumberFormat="1" applyFont="1" applyFill="1" applyBorder="1" applyAlignment="1">
      <alignment horizontal="right" vertical="center" wrapText="1"/>
    </xf>
    <xf numFmtId="164" fontId="26" fillId="0" borderId="66" xfId="0" applyNumberFormat="1" applyFont="1" applyBorder="1" applyAlignment="1">
      <alignment horizontal="right" vertical="center" wrapText="1"/>
    </xf>
    <xf numFmtId="164" fontId="26" fillId="0" borderId="66" xfId="0" applyNumberFormat="1" applyFont="1" applyBorder="1" applyAlignment="1">
      <alignment horizontal="right" vertical="center"/>
    </xf>
    <xf numFmtId="164" fontId="26" fillId="0" borderId="23" xfId="0" applyNumberFormat="1" applyFont="1" applyBorder="1" applyAlignment="1">
      <alignment horizontal="right" vertical="center"/>
    </xf>
    <xf numFmtId="164" fontId="26" fillId="0" borderId="36" xfId="0" applyNumberFormat="1" applyFont="1" applyBorder="1" applyAlignment="1">
      <alignment horizontal="right" vertical="center"/>
    </xf>
    <xf numFmtId="164" fontId="26" fillId="0" borderId="37" xfId="0" applyNumberFormat="1" applyFont="1" applyBorder="1" applyAlignment="1">
      <alignment horizontal="right" vertical="center"/>
    </xf>
    <xf numFmtId="164" fontId="26" fillId="0" borderId="5" xfId="0" applyNumberFormat="1" applyFont="1" applyBorder="1" applyAlignment="1">
      <alignment horizontal="right" vertical="center"/>
    </xf>
    <xf numFmtId="164" fontId="26" fillId="0" borderId="25" xfId="0" applyNumberFormat="1" applyFont="1" applyBorder="1" applyAlignment="1">
      <alignment horizontal="right" vertical="center"/>
    </xf>
    <xf numFmtId="164" fontId="26" fillId="0" borderId="5" xfId="1" applyNumberFormat="1" applyFont="1" applyFill="1" applyBorder="1" applyAlignment="1">
      <alignment horizontal="right" vertical="center" wrapText="1"/>
    </xf>
    <xf numFmtId="164" fontId="26" fillId="0" borderId="1" xfId="1" applyNumberFormat="1" applyFont="1" applyFill="1" applyBorder="1" applyAlignment="1">
      <alignment horizontal="right" vertical="center" wrapText="1"/>
    </xf>
    <xf numFmtId="0" fontId="26" fillId="0" borderId="68" xfId="0" applyFont="1" applyBorder="1" applyAlignment="1">
      <alignment horizontal="center" vertical="center"/>
    </xf>
    <xf numFmtId="0" fontId="20" fillId="0" borderId="68" xfId="0" applyFont="1" applyBorder="1" applyAlignment="1">
      <alignment horizontal="center" vertical="center" wrapText="1"/>
    </xf>
    <xf numFmtId="0" fontId="26" fillId="5" borderId="68" xfId="0" applyFont="1" applyFill="1" applyBorder="1" applyAlignment="1">
      <alignment horizontal="justify" vertical="center" wrapText="1"/>
    </xf>
    <xf numFmtId="0" fontId="23" fillId="0" borderId="68" xfId="0" applyFont="1" applyBorder="1" applyAlignment="1">
      <alignment horizontal="center" vertical="center" wrapText="1"/>
    </xf>
    <xf numFmtId="44" fontId="23" fillId="0" borderId="68" xfId="1" applyFont="1" applyBorder="1" applyAlignment="1">
      <alignment horizontal="right" vertical="center" wrapText="1"/>
    </xf>
    <xf numFmtId="164" fontId="25" fillId="0" borderId="68" xfId="0" applyNumberFormat="1" applyFont="1" applyBorder="1" applyAlignment="1">
      <alignment horizontal="right" vertical="center"/>
    </xf>
    <xf numFmtId="164" fontId="25" fillId="0" borderId="29" xfId="0" applyNumberFormat="1" applyFont="1" applyBorder="1" applyAlignment="1">
      <alignment horizontal="right" vertical="center"/>
    </xf>
    <xf numFmtId="164" fontId="20" fillId="0" borderId="47" xfId="0" applyNumberFormat="1" applyFont="1" applyBorder="1" applyAlignment="1">
      <alignment horizontal="right" vertical="center"/>
    </xf>
    <xf numFmtId="0" fontId="22" fillId="0" borderId="20" xfId="0" applyFont="1" applyBorder="1"/>
    <xf numFmtId="0" fontId="28" fillId="0" borderId="0" xfId="2" applyFont="1"/>
    <xf numFmtId="0" fontId="22" fillId="0" borderId="0" xfId="0" applyFont="1" applyAlignment="1">
      <alignment horizontal="center" wrapText="1"/>
    </xf>
    <xf numFmtId="0" fontId="26" fillId="5" borderId="26"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6" fillId="5" borderId="1" xfId="0" applyFont="1" applyFill="1" applyBorder="1" applyAlignment="1">
      <alignment horizontal="left" vertical="center" wrapText="1"/>
    </xf>
    <xf numFmtId="2" fontId="26" fillId="5" borderId="25" xfId="0" applyNumberFormat="1" applyFont="1" applyFill="1" applyBorder="1" applyAlignment="1">
      <alignment horizontal="center" vertical="center" wrapText="1"/>
    </xf>
    <xf numFmtId="164" fontId="20" fillId="0" borderId="34" xfId="0" applyNumberFormat="1" applyFont="1" applyBorder="1" applyAlignment="1">
      <alignment horizontal="right" vertical="center"/>
    </xf>
    <xf numFmtId="164" fontId="0" fillId="0" borderId="0" xfId="0" applyNumberFormat="1" applyAlignment="1">
      <alignment vertical="center"/>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 fillId="0" borderId="36" xfId="0" applyFont="1" applyBorder="1" applyAlignment="1">
      <alignment horizontal="center" vertical="center" wrapText="1"/>
    </xf>
    <xf numFmtId="0" fontId="26" fillId="0" borderId="36" xfId="0" applyFont="1" applyBorder="1" applyAlignment="1">
      <alignment horizontal="justify" vertical="center" wrapText="1"/>
    </xf>
    <xf numFmtId="2" fontId="26" fillId="0" borderId="36" xfId="0" applyNumberFormat="1" applyFont="1" applyBorder="1" applyAlignment="1">
      <alignment horizontal="center" vertical="center" wrapText="1"/>
    </xf>
    <xf numFmtId="0" fontId="26" fillId="0" borderId="1" xfId="0" applyFont="1" applyBorder="1" applyAlignment="1">
      <alignment horizontal="justify" vertical="center" wrapText="1"/>
    </xf>
    <xf numFmtId="0" fontId="26" fillId="0" borderId="66" xfId="0" applyFont="1" applyBorder="1" applyAlignment="1">
      <alignment horizontal="center" vertical="center" wrapText="1"/>
    </xf>
    <xf numFmtId="0" fontId="26" fillId="0" borderId="66" xfId="0" applyFont="1" applyBorder="1" applyAlignment="1">
      <alignment horizontal="justify" vertical="center" wrapText="1"/>
    </xf>
    <xf numFmtId="0" fontId="2" fillId="0" borderId="66" xfId="0" applyFont="1" applyBorder="1" applyAlignment="1">
      <alignment horizontal="center" vertical="center" wrapText="1"/>
    </xf>
    <xf numFmtId="0" fontId="26" fillId="0" borderId="5" xfId="0" applyFont="1" applyBorder="1" applyAlignment="1">
      <alignment horizontal="justify" vertical="center" wrapText="1"/>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2" fillId="0" borderId="28" xfId="0" applyFont="1" applyBorder="1" applyAlignment="1">
      <alignment horizontal="center"/>
    </xf>
    <xf numFmtId="0" fontId="2" fillId="2" borderId="48" xfId="0" applyFont="1" applyFill="1" applyBorder="1" applyAlignment="1">
      <alignment horizontal="left" vertical="center" wrapText="1"/>
    </xf>
    <xf numFmtId="0" fontId="20" fillId="0" borderId="50" xfId="0" applyFont="1" applyBorder="1" applyAlignment="1">
      <alignment horizontal="center" vertical="center"/>
    </xf>
    <xf numFmtId="0" fontId="20" fillId="0" borderId="40" xfId="0" applyFont="1" applyBorder="1" applyAlignment="1">
      <alignment horizontal="center" vertical="center"/>
    </xf>
    <xf numFmtId="0" fontId="21" fillId="0" borderId="7" xfId="0" applyFont="1" applyBorder="1" applyAlignment="1">
      <alignment horizontal="center" vertical="center" wrapText="1"/>
    </xf>
    <xf numFmtId="0" fontId="21" fillId="0" borderId="0" xfId="0" applyFont="1" applyAlignment="1">
      <alignment horizontal="center" vertical="center" wrapText="1"/>
    </xf>
    <xf numFmtId="0" fontId="21" fillId="0" borderId="21" xfId="0" applyFont="1" applyBorder="1" applyAlignment="1">
      <alignment horizontal="center" vertical="center" wrapText="1"/>
    </xf>
    <xf numFmtId="4" fontId="20" fillId="0" borderId="3" xfId="0" applyNumberFormat="1" applyFont="1" applyBorder="1" applyAlignment="1">
      <alignment horizontal="left" vertical="center" wrapText="1"/>
    </xf>
    <xf numFmtId="4" fontId="20" fillId="0" borderId="6" xfId="0" applyNumberFormat="1" applyFont="1" applyBorder="1" applyAlignment="1">
      <alignment horizontal="left" vertical="center" wrapText="1"/>
    </xf>
    <xf numFmtId="0" fontId="20" fillId="0" borderId="41" xfId="0" applyFont="1" applyBorder="1" applyAlignment="1">
      <alignment horizontal="left" vertical="center"/>
    </xf>
    <xf numFmtId="0" fontId="20" fillId="0" borderId="49" xfId="0" applyFont="1" applyBorder="1" applyAlignment="1">
      <alignment horizontal="left" vertical="center"/>
    </xf>
    <xf numFmtId="0" fontId="20" fillId="0" borderId="18" xfId="0" applyFont="1" applyBorder="1" applyAlignment="1">
      <alignment horizontal="center" vertical="center"/>
    </xf>
    <xf numFmtId="0" fontId="20" fillId="0" borderId="45" xfId="0" applyFont="1" applyBorder="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4" fontId="20" fillId="0" borderId="3" xfId="0" applyNumberFormat="1" applyFont="1" applyBorder="1" applyAlignment="1">
      <alignment horizontal="left" vertical="center"/>
    </xf>
    <xf numFmtId="4" fontId="20" fillId="0" borderId="6" xfId="0" applyNumberFormat="1"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4" xfId="0" applyFont="1" applyBorder="1" applyAlignment="1">
      <alignment horizontal="center" vertical="center" wrapText="1"/>
    </xf>
    <xf numFmtId="0" fontId="20" fillId="0" borderId="24" xfId="0" applyFont="1" applyBorder="1" applyAlignment="1">
      <alignment horizontal="center"/>
    </xf>
    <xf numFmtId="0" fontId="20" fillId="0" borderId="25" xfId="0" applyFont="1" applyBorder="1" applyAlignment="1">
      <alignment horizontal="center"/>
    </xf>
    <xf numFmtId="0" fontId="21" fillId="0" borderId="2" xfId="0" applyFont="1" applyBorder="1" applyAlignment="1">
      <alignment horizontal="center" vertical="center" wrapText="1"/>
    </xf>
    <xf numFmtId="0" fontId="21" fillId="0" borderId="6" xfId="0" applyFont="1" applyBorder="1" applyAlignment="1">
      <alignment horizontal="center" vertical="center" wrapText="1"/>
    </xf>
    <xf numFmtId="4" fontId="20" fillId="0" borderId="4" xfId="0" applyNumberFormat="1" applyFont="1" applyBorder="1" applyAlignment="1">
      <alignment horizontal="center" vertical="center" wrapText="1"/>
    </xf>
    <xf numFmtId="4" fontId="20" fillId="0" borderId="8" xfId="0" applyNumberFormat="1" applyFont="1" applyBorder="1" applyAlignment="1">
      <alignment horizontal="center" vertical="center"/>
    </xf>
    <xf numFmtId="4" fontId="20" fillId="0" borderId="9" xfId="0" applyNumberFormat="1" applyFont="1" applyBorder="1" applyAlignment="1">
      <alignment horizontal="center" vertical="center"/>
    </xf>
    <xf numFmtId="4" fontId="20" fillId="0" borderId="7" xfId="0" applyNumberFormat="1" applyFont="1" applyBorder="1" applyAlignment="1">
      <alignment horizontal="center" vertical="center"/>
    </xf>
    <xf numFmtId="4" fontId="20" fillId="0" borderId="0" xfId="0" applyNumberFormat="1" applyFont="1" applyAlignment="1">
      <alignment horizontal="center" vertical="center"/>
    </xf>
    <xf numFmtId="4" fontId="20" fillId="0" borderId="38" xfId="0" applyNumberFormat="1" applyFont="1" applyBorder="1" applyAlignment="1">
      <alignment horizontal="center" vertical="center"/>
    </xf>
    <xf numFmtId="4" fontId="20" fillId="0" borderId="42" xfId="0" applyNumberFormat="1" applyFont="1" applyBorder="1" applyAlignment="1">
      <alignment horizontal="center" vertical="center"/>
    </xf>
    <xf numFmtId="4" fontId="20" fillId="0" borderId="33" xfId="0" applyNumberFormat="1" applyFont="1" applyBorder="1" applyAlignment="1">
      <alignment horizontal="center" vertical="center"/>
    </xf>
    <xf numFmtId="4" fontId="20" fillId="0" borderId="39" xfId="0" applyNumberFormat="1" applyFont="1" applyBorder="1" applyAlignment="1">
      <alignment horizontal="center" vertical="center"/>
    </xf>
    <xf numFmtId="0" fontId="21" fillId="0" borderId="42"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43" xfId="0" applyFont="1" applyBorder="1" applyAlignment="1">
      <alignment horizontal="center" vertical="center"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1" fillId="0" borderId="20" xfId="0" applyFont="1" applyBorder="1" applyAlignment="1">
      <alignment horizontal="left" vertical="top" wrapText="1"/>
    </xf>
    <xf numFmtId="0" fontId="1" fillId="0" borderId="0" xfId="0" applyFont="1" applyAlignment="1">
      <alignment horizontal="left" vertical="top" wrapText="1"/>
    </xf>
    <xf numFmtId="0" fontId="1" fillId="0" borderId="21" xfId="0" applyFont="1" applyBorder="1" applyAlignment="1">
      <alignment horizontal="left" vertical="top" wrapText="1"/>
    </xf>
    <xf numFmtId="0" fontId="1" fillId="0" borderId="46" xfId="0" applyFont="1" applyBorder="1" applyAlignment="1">
      <alignment horizontal="left" vertical="top" wrapText="1"/>
    </xf>
    <xf numFmtId="0" fontId="1" fillId="0" borderId="33" xfId="0" applyFont="1" applyBorder="1" applyAlignment="1">
      <alignment horizontal="left" vertical="top" wrapText="1"/>
    </xf>
    <xf numFmtId="0" fontId="1" fillId="0" borderId="43" xfId="0" applyFont="1" applyBorder="1" applyAlignment="1">
      <alignment horizontal="left" vertical="top" wrapText="1"/>
    </xf>
    <xf numFmtId="0" fontId="20" fillId="0" borderId="12" xfId="0" applyFont="1" applyBorder="1" applyAlignment="1">
      <alignment horizontal="center" vertical="center"/>
    </xf>
    <xf numFmtId="0" fontId="20" fillId="0" borderId="14" xfId="0" applyFont="1" applyBorder="1" applyAlignment="1">
      <alignment horizontal="center" vertical="center"/>
    </xf>
    <xf numFmtId="0" fontId="20" fillId="0" borderId="48" xfId="0" applyFont="1" applyBorder="1" applyAlignment="1">
      <alignment horizontal="center" vertical="center"/>
    </xf>
    <xf numFmtId="0" fontId="22" fillId="0" borderId="17" xfId="0" applyFont="1" applyBorder="1" applyAlignment="1">
      <alignment horizontal="center"/>
    </xf>
    <xf numFmtId="0" fontId="22" fillId="0" borderId="18" xfId="0" applyFont="1" applyBorder="1" applyAlignment="1">
      <alignment horizontal="center"/>
    </xf>
    <xf numFmtId="0" fontId="22" fillId="0" borderId="20" xfId="0" applyFont="1" applyBorder="1" applyAlignment="1">
      <alignment horizontal="center"/>
    </xf>
    <xf numFmtId="0" fontId="22" fillId="0" borderId="0" xfId="0" applyFont="1" applyAlignment="1">
      <alignment horizontal="center"/>
    </xf>
    <xf numFmtId="0" fontId="22" fillId="0" borderId="19" xfId="0" applyFont="1" applyBorder="1" applyAlignment="1">
      <alignment horizontal="center" vertical="center"/>
    </xf>
    <xf numFmtId="0" fontId="22" fillId="0" borderId="21" xfId="0" applyFont="1" applyBorder="1" applyAlignment="1">
      <alignment horizontal="center" vertical="center"/>
    </xf>
    <xf numFmtId="0" fontId="22" fillId="0" borderId="43" xfId="0" applyFont="1" applyBorder="1" applyAlignment="1">
      <alignment horizontal="center" vertical="center"/>
    </xf>
    <xf numFmtId="0" fontId="22" fillId="0" borderId="70" xfId="0" applyFont="1" applyBorder="1" applyAlignment="1">
      <alignment horizontal="center" vertical="top" wrapText="1"/>
    </xf>
    <xf numFmtId="0" fontId="22" fillId="0" borderId="41" xfId="0" applyFont="1" applyBorder="1" applyAlignment="1">
      <alignment horizontal="center" vertical="top" wrapText="1"/>
    </xf>
    <xf numFmtId="2" fontId="25" fillId="0" borderId="1" xfId="0" applyNumberFormat="1" applyFont="1" applyBorder="1" applyAlignment="1">
      <alignment horizontal="center" vertical="center" wrapText="1"/>
    </xf>
    <xf numFmtId="2" fontId="25" fillId="0" borderId="5" xfId="0" applyNumberFormat="1" applyFont="1" applyBorder="1" applyAlignment="1">
      <alignment horizontal="center" vertical="center" wrapText="1"/>
    </xf>
    <xf numFmtId="2" fontId="25" fillId="0" borderId="74" xfId="0" applyNumberFormat="1" applyFont="1" applyBorder="1" applyAlignment="1">
      <alignment horizontal="center" vertical="center" wrapText="1"/>
    </xf>
    <xf numFmtId="2" fontId="25" fillId="0" borderId="11" xfId="0" applyNumberFormat="1" applyFont="1" applyBorder="1" applyAlignment="1">
      <alignment horizontal="center" vertical="center" wrapText="1"/>
    </xf>
    <xf numFmtId="2" fontId="25" fillId="0" borderId="13" xfId="0" applyNumberFormat="1" applyFont="1" applyBorder="1" applyAlignment="1">
      <alignment horizontal="center" vertical="center" wrapText="1"/>
    </xf>
    <xf numFmtId="2" fontId="25" fillId="0" borderId="48" xfId="0" applyNumberFormat="1" applyFont="1" applyBorder="1" applyAlignment="1">
      <alignment horizontal="center" vertical="center" wrapText="1"/>
    </xf>
    <xf numFmtId="0" fontId="21" fillId="2" borderId="13"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15" xfId="0" applyFont="1" applyFill="1" applyBorder="1" applyAlignment="1">
      <alignment horizontal="left" vertical="center" wrapText="1"/>
    </xf>
    <xf numFmtId="2" fontId="25" fillId="0" borderId="2" xfId="0" applyNumberFormat="1" applyFont="1" applyBorder="1" applyAlignment="1">
      <alignment horizontal="center" vertical="center" wrapText="1"/>
    </xf>
    <xf numFmtId="2" fontId="25" fillId="0" borderId="6" xfId="0" applyNumberFormat="1" applyFont="1" applyBorder="1" applyAlignment="1">
      <alignment horizontal="center" vertical="center" wrapText="1"/>
    </xf>
    <xf numFmtId="0" fontId="22" fillId="0" borderId="46" xfId="0" applyFont="1" applyBorder="1" applyAlignment="1">
      <alignment horizontal="center" vertical="center" wrapText="1"/>
    </xf>
    <xf numFmtId="0" fontId="22" fillId="0" borderId="3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25" fillId="0" borderId="28" xfId="0" applyFont="1" applyBorder="1" applyAlignment="1">
      <alignment horizontal="center" wrapText="1"/>
    </xf>
    <xf numFmtId="2" fontId="20" fillId="0" borderId="36" xfId="0" applyNumberFormat="1" applyFont="1" applyBorder="1" applyAlignment="1">
      <alignment horizontal="center" vertical="center"/>
    </xf>
    <xf numFmtId="2" fontId="20" fillId="0" borderId="31" xfId="0" applyNumberFormat="1" applyFont="1" applyBorder="1" applyAlignment="1">
      <alignment horizontal="center" vertical="center"/>
    </xf>
    <xf numFmtId="0" fontId="20" fillId="0" borderId="36" xfId="0" applyFont="1" applyBorder="1" applyAlignment="1">
      <alignment horizontal="center" vertical="center"/>
    </xf>
    <xf numFmtId="0" fontId="20" fillId="0" borderId="31" xfId="0" applyFont="1" applyBorder="1" applyAlignment="1">
      <alignment horizontal="center" vertical="center"/>
    </xf>
    <xf numFmtId="0" fontId="20" fillId="0" borderId="37" xfId="0" applyFont="1" applyBorder="1" applyAlignment="1">
      <alignment horizontal="center" vertical="center"/>
    </xf>
    <xf numFmtId="0" fontId="20" fillId="0" borderId="32" xfId="0" applyFont="1" applyBorder="1" applyAlignment="1">
      <alignment horizontal="center" vertical="center"/>
    </xf>
    <xf numFmtId="2" fontId="25" fillId="5" borderId="73" xfId="0" applyNumberFormat="1" applyFont="1" applyFill="1" applyBorder="1" applyAlignment="1">
      <alignment horizontal="center" vertical="center" wrapText="1"/>
    </xf>
    <xf numFmtId="2" fontId="25" fillId="5" borderId="49" xfId="0" applyNumberFormat="1" applyFont="1" applyFill="1" applyBorder="1" applyAlignment="1">
      <alignment horizontal="center" vertical="center" wrapText="1"/>
    </xf>
    <xf numFmtId="2" fontId="25" fillId="0" borderId="71" xfId="0" applyNumberFormat="1" applyFont="1" applyBorder="1" applyAlignment="1">
      <alignment horizontal="center" vertical="center" wrapText="1"/>
    </xf>
    <xf numFmtId="2" fontId="25" fillId="0" borderId="72" xfId="0" applyNumberFormat="1" applyFont="1" applyBorder="1" applyAlignment="1">
      <alignment horizontal="center" vertical="center" wrapText="1"/>
    </xf>
    <xf numFmtId="10" fontId="5" fillId="6" borderId="35" xfId="0" applyNumberFormat="1" applyFont="1" applyFill="1" applyBorder="1" applyAlignment="1">
      <alignment horizontal="center" vertical="center" wrapText="1"/>
    </xf>
    <xf numFmtId="10" fontId="5" fillId="6" borderId="37" xfId="0" applyNumberFormat="1"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46"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43" xfId="0" applyFont="1" applyFill="1" applyBorder="1" applyAlignment="1">
      <alignment horizontal="center" vertical="center" wrapText="1"/>
    </xf>
    <xf numFmtId="164" fontId="5" fillId="3" borderId="30" xfId="0" applyNumberFormat="1" applyFont="1" applyFill="1" applyBorder="1" applyAlignment="1">
      <alignment horizontal="center" vertical="center" wrapText="1"/>
    </xf>
    <xf numFmtId="164" fontId="5" fillId="3" borderId="32" xfId="0" applyNumberFormat="1" applyFont="1" applyFill="1" applyBorder="1" applyAlignment="1">
      <alignment horizontal="center" vertical="center" wrapText="1"/>
    </xf>
    <xf numFmtId="0" fontId="3" fillId="3" borderId="12"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34" xfId="0" applyFont="1" applyFill="1" applyBorder="1" applyAlignment="1">
      <alignment horizontal="center" vertical="center"/>
    </xf>
    <xf numFmtId="4" fontId="4" fillId="3" borderId="12" xfId="0" applyNumberFormat="1" applyFont="1" applyFill="1" applyBorder="1" applyAlignment="1">
      <alignment horizontal="left" vertical="center"/>
    </xf>
    <xf numFmtId="0" fontId="4" fillId="3" borderId="14" xfId="0" applyFont="1" applyFill="1" applyBorder="1" applyAlignment="1">
      <alignment horizontal="left" vertical="center"/>
    </xf>
    <xf numFmtId="0" fontId="2" fillId="4" borderId="1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34"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0" xfId="0" applyFont="1" applyFill="1" applyAlignment="1">
      <alignment horizontal="center" vertical="center"/>
    </xf>
    <xf numFmtId="0" fontId="3" fillId="3" borderId="21"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5" xfId="0" applyFont="1" applyFill="1" applyBorder="1" applyAlignment="1">
      <alignment horizontal="center" vertical="center"/>
    </xf>
    <xf numFmtId="0" fontId="8" fillId="3" borderId="0" xfId="0" applyFont="1" applyFill="1" applyAlignment="1">
      <alignment horizontal="center" vertical="center"/>
    </xf>
    <xf numFmtId="0" fontId="1" fillId="0" borderId="0" xfId="0" applyFont="1" applyAlignment="1">
      <alignment horizontal="left" vertical="center" wrapText="1"/>
    </xf>
    <xf numFmtId="0" fontId="1" fillId="0" borderId="21" xfId="0" applyFont="1" applyBorder="1" applyAlignment="1">
      <alignment horizontal="left" vertical="center" wrapText="1"/>
    </xf>
    <xf numFmtId="164" fontId="0" fillId="0" borderId="12" xfId="0" applyNumberFormat="1" applyBorder="1" applyAlignment="1">
      <alignment horizontal="center" vertical="center"/>
    </xf>
    <xf numFmtId="0" fontId="0" fillId="0" borderId="15" xfId="0"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1" fillId="0" borderId="18" xfId="0" applyFont="1" applyBorder="1" applyAlignment="1">
      <alignment horizontal="justify" vertical="center" wrapText="1"/>
    </xf>
    <xf numFmtId="0" fontId="1" fillId="0" borderId="19" xfId="0" applyFont="1" applyBorder="1" applyAlignment="1">
      <alignment horizontal="justify" vertical="center" wrapText="1"/>
    </xf>
    <xf numFmtId="0" fontId="1" fillId="0" borderId="0" xfId="0" applyFont="1" applyAlignment="1">
      <alignment horizontal="justify" vertical="center" wrapText="1"/>
    </xf>
    <xf numFmtId="0" fontId="1" fillId="0" borderId="21" xfId="0" applyFont="1" applyBorder="1" applyAlignment="1">
      <alignment horizontal="justify" vertical="center" wrapText="1"/>
    </xf>
    <xf numFmtId="0" fontId="11" fillId="0" borderId="17" xfId="0" applyFont="1" applyBorder="1" applyAlignment="1">
      <alignment horizontal="center"/>
    </xf>
    <xf numFmtId="0" fontId="11" fillId="0" borderId="18" xfId="0" applyFont="1" applyBorder="1" applyAlignment="1">
      <alignment horizontal="center"/>
    </xf>
    <xf numFmtId="0" fontId="11" fillId="0" borderId="19" xfId="0" applyFont="1" applyBorder="1" applyAlignment="1">
      <alignment horizontal="center"/>
    </xf>
    <xf numFmtId="0" fontId="11" fillId="0" borderId="20" xfId="0" applyFont="1" applyBorder="1" applyAlignment="1">
      <alignment horizontal="center"/>
    </xf>
    <xf numFmtId="0" fontId="11" fillId="0" borderId="0" xfId="0" applyFont="1" applyAlignment="1">
      <alignment horizontal="center"/>
    </xf>
    <xf numFmtId="0" fontId="11" fillId="0" borderId="21" xfId="0" applyFont="1" applyBorder="1" applyAlignment="1">
      <alignment horizont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21" xfId="0" applyFont="1" applyBorder="1" applyAlignment="1">
      <alignment horizontal="center" vertical="center"/>
    </xf>
    <xf numFmtId="0" fontId="11" fillId="0" borderId="46" xfId="0" applyFont="1" applyBorder="1" applyAlignment="1">
      <alignment horizontal="center" vertical="center"/>
    </xf>
    <xf numFmtId="0" fontId="11" fillId="0" borderId="33" xfId="0" applyFont="1" applyBorder="1" applyAlignment="1">
      <alignment horizontal="center" vertical="center"/>
    </xf>
    <xf numFmtId="0" fontId="11" fillId="0" borderId="43"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16" fillId="0" borderId="26" xfId="0" applyFont="1" applyBorder="1" applyAlignment="1">
      <alignment horizontal="left" vertical="center"/>
    </xf>
    <xf numFmtId="0" fontId="16" fillId="0" borderId="1" xfId="0" applyFont="1" applyBorder="1" applyAlignment="1">
      <alignment horizontal="left"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69"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44" xfId="0" applyFont="1" applyBorder="1" applyAlignment="1">
      <alignment horizontal="justify" vertical="center" wrapText="1"/>
    </xf>
    <xf numFmtId="0" fontId="0" fillId="0" borderId="69" xfId="0" applyBorder="1" applyAlignment="1">
      <alignment horizontal="left"/>
    </xf>
    <xf numFmtId="0" fontId="0" fillId="0" borderId="6" xfId="0" applyBorder="1" applyAlignment="1">
      <alignment horizontal="left"/>
    </xf>
    <xf numFmtId="4" fontId="16" fillId="0" borderId="2" xfId="0" applyNumberFormat="1" applyFont="1" applyBorder="1" applyAlignment="1">
      <alignment horizontal="center" vertical="center" wrapText="1"/>
    </xf>
    <xf numFmtId="0" fontId="16" fillId="0" borderId="69"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7" fillId="0" borderId="26" xfId="0" applyFont="1" applyBorder="1" applyAlignment="1">
      <alignment horizontal="center" vertical="center"/>
    </xf>
    <xf numFmtId="0" fontId="17" fillId="0" borderId="1" xfId="0" applyFont="1" applyBorder="1" applyAlignment="1">
      <alignment horizontal="center" vertical="center"/>
    </xf>
    <xf numFmtId="0" fontId="17" fillId="0" borderId="22" xfId="0" applyFont="1" applyBorder="1" applyAlignment="1">
      <alignment horizontal="center" vertical="center"/>
    </xf>
    <xf numFmtId="0" fontId="0" fillId="0" borderId="1" xfId="0" applyBorder="1" applyAlignment="1">
      <alignment horizontal="center"/>
    </xf>
    <xf numFmtId="0" fontId="16" fillId="0" borderId="69" xfId="0" applyFont="1" applyBorder="1" applyAlignment="1">
      <alignment horizontal="left" vertical="center" wrapText="1"/>
    </xf>
    <xf numFmtId="0" fontId="16" fillId="0" borderId="3" xfId="0" applyFont="1" applyBorder="1" applyAlignment="1">
      <alignment horizontal="left" vertical="center" wrapText="1"/>
    </xf>
    <xf numFmtId="0" fontId="16" fillId="0" borderId="6" xfId="0" applyFont="1" applyBorder="1" applyAlignment="1">
      <alignment horizontal="left" vertical="center" wrapText="1"/>
    </xf>
    <xf numFmtId="10" fontId="0" fillId="7" borderId="1" xfId="0" applyNumberFormat="1" applyFill="1" applyBorder="1" applyAlignment="1">
      <alignment horizontal="center"/>
    </xf>
    <xf numFmtId="0" fontId="6" fillId="0" borderId="69" xfId="0" applyFont="1" applyBorder="1" applyAlignment="1">
      <alignment horizontal="left"/>
    </xf>
    <xf numFmtId="0" fontId="6" fillId="0" borderId="6" xfId="0" applyFont="1" applyBorder="1" applyAlignment="1">
      <alignment horizontal="left"/>
    </xf>
    <xf numFmtId="0" fontId="14" fillId="0" borderId="0" xfId="0" applyFont="1" applyAlignment="1">
      <alignment horizontal="center" vertical="center" wrapText="1"/>
    </xf>
    <xf numFmtId="0" fontId="14" fillId="0" borderId="21" xfId="0" applyFont="1" applyBorder="1" applyAlignment="1">
      <alignment horizontal="center" vertical="center" wrapText="1"/>
    </xf>
    <xf numFmtId="0" fontId="18" fillId="0" borderId="0" xfId="0" applyFont="1" applyAlignment="1">
      <alignment horizontal="center" vertical="center"/>
    </xf>
    <xf numFmtId="0" fontId="18" fillId="0" borderId="21" xfId="0" applyFont="1" applyBorder="1" applyAlignment="1">
      <alignment horizontal="center" vertical="center"/>
    </xf>
    <xf numFmtId="0" fontId="19" fillId="0" borderId="0" xfId="0" applyFont="1" applyAlignment="1">
      <alignment horizontal="center" vertical="center"/>
    </xf>
    <xf numFmtId="0" fontId="19" fillId="0" borderId="21" xfId="0" applyFont="1" applyBorder="1" applyAlignment="1">
      <alignment horizontal="center" vertical="center"/>
    </xf>
    <xf numFmtId="0" fontId="19" fillId="0" borderId="0" xfId="0" applyFont="1" applyAlignment="1">
      <alignment horizontal="center" vertical="top"/>
    </xf>
    <xf numFmtId="0" fontId="19" fillId="0" borderId="21" xfId="0" applyFont="1" applyBorder="1" applyAlignment="1">
      <alignment horizontal="center" vertical="top"/>
    </xf>
    <xf numFmtId="164" fontId="16" fillId="0" borderId="2" xfId="1" applyNumberFormat="1" applyFont="1" applyBorder="1" applyAlignment="1">
      <alignment horizontal="center" vertical="center"/>
    </xf>
    <xf numFmtId="164" fontId="16" fillId="0" borderId="6" xfId="1" applyNumberFormat="1" applyFont="1" applyBorder="1" applyAlignment="1">
      <alignment horizontal="center" vertical="center"/>
    </xf>
    <xf numFmtId="4" fontId="3" fillId="9" borderId="26" xfId="0" applyNumberFormat="1" applyFont="1" applyFill="1" applyBorder="1" applyAlignment="1">
      <alignment horizontal="center"/>
    </xf>
    <xf numFmtId="4" fontId="3" fillId="9" borderId="1" xfId="0" applyNumberFormat="1" applyFont="1" applyFill="1" applyBorder="1" applyAlignment="1">
      <alignment horizontal="center"/>
    </xf>
    <xf numFmtId="4" fontId="3" fillId="9" borderId="5" xfId="0" applyNumberFormat="1" applyFont="1" applyFill="1" applyBorder="1" applyAlignment="1">
      <alignment horizontal="center"/>
    </xf>
    <xf numFmtId="0" fontId="4" fillId="8" borderId="1" xfId="0" applyFont="1" applyFill="1" applyBorder="1" applyAlignment="1">
      <alignment horizontal="center" vertical="center"/>
    </xf>
    <xf numFmtId="0" fontId="4" fillId="8" borderId="22" xfId="0" applyFont="1" applyFill="1" applyBorder="1" applyAlignment="1">
      <alignment horizontal="center" vertical="center"/>
    </xf>
    <xf numFmtId="0" fontId="0" fillId="0" borderId="1" xfId="0" applyBorder="1" applyAlignment="1">
      <alignment horizontal="center" vertical="center" wrapText="1"/>
    </xf>
    <xf numFmtId="0" fontId="0" fillId="0" borderId="22" xfId="0" applyBorder="1" applyAlignment="1">
      <alignment horizontal="center" vertical="center" wrapText="1"/>
    </xf>
  </cellXfs>
  <cellStyles count="5">
    <cellStyle name="Hiperlink" xfId="2" builtinId="8"/>
    <cellStyle name="Moeda" xfId="1" builtinId="4"/>
    <cellStyle name="Normal" xfId="0" builtinId="0"/>
    <cellStyle name="Porcentagem" xfId="3" builtinId="5"/>
    <cellStyle name="Vírgula" xfId="4" builtinId="3"/>
  </cellStyles>
  <dxfs count="11">
    <dxf>
      <font>
        <b/>
        <i val="0"/>
        <condense val="0"/>
        <extend val="0"/>
      </font>
    </dxf>
    <dxf>
      <font>
        <b/>
        <i val="0"/>
        <condense val="0"/>
        <extend val="0"/>
      </font>
      <fill>
        <patternFill>
          <bgColor indexed="43"/>
        </patternFill>
      </fill>
    </dxf>
    <dxf>
      <fill>
        <patternFill patternType="none">
          <bgColor indexed="65"/>
        </patternFill>
      </fill>
    </dxf>
    <dxf>
      <font>
        <b/>
        <i val="0"/>
        <condense val="0"/>
        <extend val="0"/>
      </font>
    </dxf>
    <dxf>
      <font>
        <b/>
        <i val="0"/>
        <condense val="0"/>
        <extend val="0"/>
      </font>
      <fill>
        <patternFill>
          <bgColor indexed="43"/>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154782</xdr:colOff>
      <xdr:row>1</xdr:row>
      <xdr:rowOff>215395</xdr:rowOff>
    </xdr:from>
    <xdr:to>
      <xdr:col>0</xdr:col>
      <xdr:colOff>1458138</xdr:colOff>
      <xdr:row>4</xdr:row>
      <xdr:rowOff>181995</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54782" y="417801"/>
          <a:ext cx="1303356" cy="832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141578</xdr:colOff>
      <xdr:row>1</xdr:row>
      <xdr:rowOff>86591</xdr:rowOff>
    </xdr:from>
    <xdr:to>
      <xdr:col>0</xdr:col>
      <xdr:colOff>1692325</xdr:colOff>
      <xdr:row>3</xdr:row>
      <xdr:rowOff>309562</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41578" y="294409"/>
          <a:ext cx="1550747" cy="10369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BINETE\Users\RJ%20Morais%20Engenharia%20e%20Empreendimentos\LICITA&#199;&#213;ES\Cedro%20do%20abaet&#233;%20CREDENCIAMENTO\PLANILHA%20OR&#199;AMENT&#193;RIA%20-%20PROJETOS%20EXT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GERAL"/>
      <sheetName val="COMPOSIÇÃO BDI"/>
    </sheetNames>
    <sheetDataSet>
      <sheetData sheetId="0">
        <row r="3">
          <cell r="A3" t="str">
            <v xml:space="preserve">OBJETO: Contratação eventual e futura de empresa especializada para prestação de serviços de elaboração de Projetos Complementares, Planilhas Orçamentárias e Memoriais Descritivos, atendendo às necessidades da Secretaria de Obras deste Município. </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42"/>
  <sheetViews>
    <sheetView tabSelected="1" view="pageBreakPreview" zoomScale="70" zoomScaleNormal="100" zoomScaleSheetLayoutView="70" workbookViewId="0">
      <selection activeCell="B5" sqref="B5:D5"/>
    </sheetView>
  </sheetViews>
  <sheetFormatPr defaultRowHeight="15.75" x14ac:dyDescent="0.25"/>
  <cols>
    <col min="1" max="1" width="24.28515625" style="127" bestFit="1" customWidth="1"/>
    <col min="2" max="2" width="11.85546875" style="73" bestFit="1" customWidth="1"/>
    <col min="3" max="3" width="8.85546875" style="73" bestFit="1" customWidth="1"/>
    <col min="4" max="4" width="124.42578125" style="73" customWidth="1"/>
    <col min="5" max="5" width="5.5703125" style="73" bestFit="1" customWidth="1"/>
    <col min="6" max="6" width="10" style="73" bestFit="1" customWidth="1"/>
    <col min="7" max="7" width="13.7109375" style="73" bestFit="1" customWidth="1"/>
    <col min="8" max="8" width="16.42578125" style="73" bestFit="1" customWidth="1"/>
    <col min="9" max="9" width="13.7109375" style="73" bestFit="1" customWidth="1"/>
    <col min="10" max="10" width="16.42578125" style="73" bestFit="1" customWidth="1"/>
    <col min="11" max="16384" width="9.140625" style="73"/>
  </cols>
  <sheetData>
    <row r="1" spans="1:10" x14ac:dyDescent="0.25">
      <c r="A1" s="147"/>
      <c r="B1" s="167" t="s">
        <v>7</v>
      </c>
      <c r="C1" s="167"/>
      <c r="D1" s="167"/>
      <c r="E1" s="167"/>
      <c r="F1" s="167"/>
      <c r="G1" s="168"/>
      <c r="H1" s="152" t="s">
        <v>139</v>
      </c>
      <c r="I1" s="152"/>
      <c r="J1" s="153"/>
    </row>
    <row r="2" spans="1:10" ht="35.25" customHeight="1" x14ac:dyDescent="0.25">
      <c r="A2" s="148"/>
      <c r="B2" s="169"/>
      <c r="C2" s="169"/>
      <c r="D2" s="169"/>
      <c r="E2" s="169"/>
      <c r="F2" s="169"/>
      <c r="G2" s="170"/>
      <c r="H2" s="173" t="s">
        <v>185</v>
      </c>
      <c r="I2" s="174"/>
      <c r="J2" s="175"/>
    </row>
    <row r="3" spans="1:10" x14ac:dyDescent="0.25">
      <c r="A3" s="148"/>
      <c r="B3" s="171" t="s">
        <v>184</v>
      </c>
      <c r="C3" s="171"/>
      <c r="D3" s="172"/>
      <c r="E3" s="180" t="s">
        <v>9</v>
      </c>
      <c r="F3" s="181"/>
      <c r="G3" s="182"/>
      <c r="H3" s="178" t="s">
        <v>23</v>
      </c>
      <c r="I3" s="179"/>
      <c r="J3" s="88">
        <f>BDI!I7</f>
        <v>0.20301131837419373</v>
      </c>
    </row>
    <row r="4" spans="1:10" x14ac:dyDescent="0.25">
      <c r="A4" s="148"/>
      <c r="B4" s="163" t="s">
        <v>140</v>
      </c>
      <c r="C4" s="163"/>
      <c r="D4" s="164"/>
      <c r="E4" s="183"/>
      <c r="F4" s="184"/>
      <c r="G4" s="185"/>
      <c r="H4" s="160" t="s">
        <v>128</v>
      </c>
      <c r="I4" s="161"/>
      <c r="J4" s="162"/>
    </row>
    <row r="5" spans="1:10" ht="46.5" customHeight="1" thickBot="1" x14ac:dyDescent="0.3">
      <c r="A5" s="149"/>
      <c r="B5" s="165" t="s">
        <v>42</v>
      </c>
      <c r="C5" s="165"/>
      <c r="D5" s="166"/>
      <c r="E5" s="186"/>
      <c r="F5" s="187"/>
      <c r="G5" s="188"/>
      <c r="H5" s="189" t="s">
        <v>8</v>
      </c>
      <c r="I5" s="190"/>
      <c r="J5" s="191"/>
    </row>
    <row r="6" spans="1:10" x14ac:dyDescent="0.25">
      <c r="A6" s="156"/>
      <c r="B6" s="150" t="s">
        <v>1</v>
      </c>
      <c r="C6" s="150" t="s">
        <v>2</v>
      </c>
      <c r="D6" s="150" t="s">
        <v>3</v>
      </c>
      <c r="E6" s="150" t="s">
        <v>0</v>
      </c>
      <c r="F6" s="158" t="s">
        <v>4</v>
      </c>
      <c r="G6" s="176" t="s">
        <v>5</v>
      </c>
      <c r="H6" s="177"/>
      <c r="I6" s="176" t="s">
        <v>94</v>
      </c>
      <c r="J6" s="177"/>
    </row>
    <row r="7" spans="1:10" ht="16.5" thickBot="1" x14ac:dyDescent="0.3">
      <c r="A7" s="156"/>
      <c r="B7" s="151"/>
      <c r="C7" s="151"/>
      <c r="D7" s="151"/>
      <c r="E7" s="151"/>
      <c r="F7" s="159"/>
      <c r="G7" s="89" t="s">
        <v>129</v>
      </c>
      <c r="H7" s="90" t="s">
        <v>6</v>
      </c>
      <c r="I7" s="89" t="s">
        <v>129</v>
      </c>
      <c r="J7" s="90" t="s">
        <v>6</v>
      </c>
    </row>
    <row r="8" spans="1:10" s="95" customFormat="1" ht="16.5" thickBot="1" x14ac:dyDescent="0.25">
      <c r="A8" s="91">
        <v>1</v>
      </c>
      <c r="B8" s="154" t="s">
        <v>97</v>
      </c>
      <c r="C8" s="155"/>
      <c r="D8" s="155"/>
      <c r="E8" s="155"/>
      <c r="F8" s="155"/>
      <c r="G8" s="155"/>
      <c r="H8" s="92">
        <f>SUM(H9:H14)</f>
        <v>7140.6289999999999</v>
      </c>
      <c r="I8" s="93"/>
      <c r="J8" s="94">
        <f>SUM(J9:J14)</f>
        <v>8590.2575073110002</v>
      </c>
    </row>
    <row r="9" spans="1:10" s="95" customFormat="1" ht="90.75" customHeight="1" x14ac:dyDescent="0.2">
      <c r="A9" s="137" t="s">
        <v>22</v>
      </c>
      <c r="B9" s="138" t="s">
        <v>21</v>
      </c>
      <c r="C9" s="139" t="s">
        <v>20</v>
      </c>
      <c r="D9" s="140" t="s">
        <v>30</v>
      </c>
      <c r="E9" s="138" t="s">
        <v>33</v>
      </c>
      <c r="F9" s="141">
        <f>'memória de cálculo'!J9</f>
        <v>4.5</v>
      </c>
      <c r="G9" s="96">
        <v>303.81</v>
      </c>
      <c r="H9" s="97">
        <f t="shared" ref="H9:H11" si="0">F9*G9</f>
        <v>1367.145</v>
      </c>
      <c r="I9" s="98">
        <f>($G9*$J$3+$G9)</f>
        <v>365.48686863526382</v>
      </c>
      <c r="J9" s="99">
        <f>(F9*I9)</f>
        <v>1644.6909088586872</v>
      </c>
    </row>
    <row r="10" spans="1:10" s="95" customFormat="1" x14ac:dyDescent="0.2">
      <c r="A10" s="81" t="s">
        <v>37</v>
      </c>
      <c r="B10" s="81" t="s">
        <v>37</v>
      </c>
      <c r="C10" s="82" t="s">
        <v>41</v>
      </c>
      <c r="D10" s="142" t="s">
        <v>55</v>
      </c>
      <c r="E10" s="81" t="s">
        <v>39</v>
      </c>
      <c r="F10" s="100">
        <f>'memória de cálculo'!J10</f>
        <v>1</v>
      </c>
      <c r="G10" s="101">
        <v>262.55</v>
      </c>
      <c r="H10" s="102">
        <f t="shared" si="0"/>
        <v>262.55</v>
      </c>
      <c r="I10" s="103">
        <f t="shared" ref="I10:I14" si="1">($G10*$J$3+$G10)</f>
        <v>315.85062163914461</v>
      </c>
      <c r="J10" s="104">
        <f t="shared" ref="J10:J11" si="2">(F10*I10)</f>
        <v>315.85062163914461</v>
      </c>
    </row>
    <row r="11" spans="1:10" s="95" customFormat="1" x14ac:dyDescent="0.2">
      <c r="A11" s="80" t="s">
        <v>101</v>
      </c>
      <c r="B11" s="143" t="s">
        <v>96</v>
      </c>
      <c r="C11" s="77" t="s">
        <v>43</v>
      </c>
      <c r="D11" s="144" t="s">
        <v>95</v>
      </c>
      <c r="E11" s="76" t="s">
        <v>49</v>
      </c>
      <c r="F11" s="100">
        <f>'memória de cálculo'!J11</f>
        <v>2</v>
      </c>
      <c r="G11" s="105">
        <v>730</v>
      </c>
      <c r="H11" s="106">
        <f t="shared" si="0"/>
        <v>1460</v>
      </c>
      <c r="I11" s="103">
        <f t="shared" si="1"/>
        <v>878.19826241316139</v>
      </c>
      <c r="J11" s="104">
        <f t="shared" si="2"/>
        <v>1756.3965248263228</v>
      </c>
    </row>
    <row r="12" spans="1:10" s="95" customFormat="1" x14ac:dyDescent="0.2">
      <c r="A12" s="80" t="s">
        <v>102</v>
      </c>
      <c r="B12" s="143" t="s">
        <v>127</v>
      </c>
      <c r="C12" s="82" t="s">
        <v>50</v>
      </c>
      <c r="D12" s="144" t="s">
        <v>126</v>
      </c>
      <c r="E12" s="76" t="s">
        <v>49</v>
      </c>
      <c r="F12" s="100">
        <f>'memória de cálculo'!J12</f>
        <v>2</v>
      </c>
      <c r="G12" s="105">
        <v>680</v>
      </c>
      <c r="H12" s="106">
        <f t="shared" ref="H12:H14" si="3">F12*G12</f>
        <v>1360</v>
      </c>
      <c r="I12" s="103">
        <f t="shared" si="1"/>
        <v>818.04769649445177</v>
      </c>
      <c r="J12" s="104">
        <f t="shared" ref="J12:J14" si="4">(F12*I12)</f>
        <v>1636.0953929889035</v>
      </c>
    </row>
    <row r="13" spans="1:10" s="95" customFormat="1" ht="30" x14ac:dyDescent="0.2">
      <c r="A13" s="80" t="s">
        <v>22</v>
      </c>
      <c r="B13" s="81" t="s">
        <v>131</v>
      </c>
      <c r="C13" s="77" t="s">
        <v>125</v>
      </c>
      <c r="D13" s="142" t="s">
        <v>130</v>
      </c>
      <c r="E13" s="81" t="s">
        <v>133</v>
      </c>
      <c r="F13" s="100">
        <f>'memória de cálculo'!J13</f>
        <v>108.2</v>
      </c>
      <c r="G13" s="101">
        <v>20</v>
      </c>
      <c r="H13" s="106">
        <f t="shared" si="3"/>
        <v>2164</v>
      </c>
      <c r="I13" s="103">
        <f t="shared" si="1"/>
        <v>24.060226367483875</v>
      </c>
      <c r="J13" s="104">
        <f t="shared" si="4"/>
        <v>2603.3164929617551</v>
      </c>
    </row>
    <row r="14" spans="1:10" s="95" customFormat="1" ht="21" customHeight="1" thickBot="1" x14ac:dyDescent="0.25">
      <c r="A14" s="80" t="s">
        <v>22</v>
      </c>
      <c r="B14" s="81" t="s">
        <v>135</v>
      </c>
      <c r="C14" s="82" t="s">
        <v>132</v>
      </c>
      <c r="D14" s="142" t="s">
        <v>134</v>
      </c>
      <c r="E14" s="81" t="s">
        <v>32</v>
      </c>
      <c r="F14" s="100">
        <f>'memória de cálculo'!J14</f>
        <v>54.1</v>
      </c>
      <c r="G14" s="101">
        <v>9.74</v>
      </c>
      <c r="H14" s="106">
        <f t="shared" si="3"/>
        <v>526.93399999999997</v>
      </c>
      <c r="I14" s="103">
        <f t="shared" si="1"/>
        <v>11.717330240964648</v>
      </c>
      <c r="J14" s="104">
        <f t="shared" si="4"/>
        <v>633.90756603618752</v>
      </c>
    </row>
    <row r="15" spans="1:10" s="95" customFormat="1" ht="16.5" thickBot="1" x14ac:dyDescent="0.25">
      <c r="A15" s="107">
        <v>2</v>
      </c>
      <c r="B15" s="154" t="s">
        <v>98</v>
      </c>
      <c r="C15" s="155"/>
      <c r="D15" s="155"/>
      <c r="E15" s="155"/>
      <c r="F15" s="155"/>
      <c r="G15" s="157"/>
      <c r="H15" s="92">
        <f>SUM(H16:H16)</f>
        <v>1512.3150000000001</v>
      </c>
      <c r="I15" s="92"/>
      <c r="J15" s="108">
        <f>SUM(J16:J16)</f>
        <v>1819.3320619470687</v>
      </c>
    </row>
    <row r="16" spans="1:10" s="95" customFormat="1" ht="16.5" thickBot="1" x14ac:dyDescent="0.25">
      <c r="A16" s="80" t="s">
        <v>102</v>
      </c>
      <c r="B16" s="143" t="s">
        <v>142</v>
      </c>
      <c r="C16" s="145" t="s">
        <v>31</v>
      </c>
      <c r="D16" s="144" t="s">
        <v>141</v>
      </c>
      <c r="E16" s="143" t="s">
        <v>33</v>
      </c>
      <c r="F16" s="100">
        <f>'memória de cálculo'!J16</f>
        <v>10.5</v>
      </c>
      <c r="G16" s="109">
        <v>144.03</v>
      </c>
      <c r="H16" s="110">
        <f>F16*G16</f>
        <v>1512.3150000000001</v>
      </c>
      <c r="I16" s="111">
        <f>($G16*$J$3+$G16)</f>
        <v>173.26972018543512</v>
      </c>
      <c r="J16" s="112">
        <f>(F16*I16)</f>
        <v>1819.3320619470687</v>
      </c>
    </row>
    <row r="17" spans="1:10" s="95" customFormat="1" ht="16.5" thickBot="1" x14ac:dyDescent="0.25">
      <c r="A17" s="107">
        <v>3</v>
      </c>
      <c r="B17" s="154" t="s">
        <v>116</v>
      </c>
      <c r="C17" s="155"/>
      <c r="D17" s="155"/>
      <c r="E17" s="155"/>
      <c r="F17" s="155"/>
      <c r="G17" s="157"/>
      <c r="H17" s="92">
        <f>SUM(H18:H27)</f>
        <v>105142.32238000001</v>
      </c>
      <c r="I17" s="92"/>
      <c r="J17" s="108">
        <f>SUM(J18:J27)</f>
        <v>126487.40386328832</v>
      </c>
    </row>
    <row r="18" spans="1:10" s="95" customFormat="1" x14ac:dyDescent="0.2">
      <c r="A18" s="80" t="s">
        <v>102</v>
      </c>
      <c r="B18" s="138" t="s">
        <v>144</v>
      </c>
      <c r="C18" s="139" t="s">
        <v>103</v>
      </c>
      <c r="D18" s="140" t="s">
        <v>143</v>
      </c>
      <c r="E18" s="138" t="s">
        <v>32</v>
      </c>
      <c r="F18" s="100">
        <f>'memória de cálculo'!J18</f>
        <v>33.5</v>
      </c>
      <c r="G18" s="96">
        <v>30.54</v>
      </c>
      <c r="H18" s="97">
        <f t="shared" ref="H18" si="5">F18*G18</f>
        <v>1023.0899999999999</v>
      </c>
      <c r="I18" s="113">
        <f t="shared" ref="I18:I19" si="6">($G18*$J$3+$G18)</f>
        <v>36.739965663147878</v>
      </c>
      <c r="J18" s="114">
        <f t="shared" ref="J18" si="7">(F18*I18)</f>
        <v>1230.7888497154538</v>
      </c>
    </row>
    <row r="19" spans="1:10" s="95" customFormat="1" x14ac:dyDescent="0.2">
      <c r="A19" s="80" t="s">
        <v>102</v>
      </c>
      <c r="B19" s="76" t="s">
        <v>150</v>
      </c>
      <c r="C19" s="77" t="s">
        <v>104</v>
      </c>
      <c r="D19" s="146" t="s">
        <v>149</v>
      </c>
      <c r="E19" s="76" t="s">
        <v>0</v>
      </c>
      <c r="F19" s="100">
        <f>'memória de cálculo'!J19</f>
        <v>2</v>
      </c>
      <c r="G19" s="105">
        <v>2000</v>
      </c>
      <c r="H19" s="106">
        <f t="shared" ref="H19" si="8">F19*G19</f>
        <v>4000</v>
      </c>
      <c r="I19" s="115">
        <f t="shared" si="6"/>
        <v>2406.0226367483874</v>
      </c>
      <c r="J19" s="116">
        <f t="shared" ref="J19" si="9">(F19*I19)</f>
        <v>4812.0452734967748</v>
      </c>
    </row>
    <row r="20" spans="1:10" s="95" customFormat="1" x14ac:dyDescent="0.2">
      <c r="A20" s="80" t="s">
        <v>102</v>
      </c>
      <c r="B20" s="76" t="s">
        <v>154</v>
      </c>
      <c r="C20" s="77" t="s">
        <v>105</v>
      </c>
      <c r="D20" s="146" t="s">
        <v>153</v>
      </c>
      <c r="E20" s="76" t="s">
        <v>32</v>
      </c>
      <c r="F20" s="100">
        <f>'memória de cálculo'!J20</f>
        <v>159</v>
      </c>
      <c r="G20" s="105">
        <v>59.64</v>
      </c>
      <c r="H20" s="106">
        <f t="shared" ref="H20" si="10">F20*G20</f>
        <v>9482.76</v>
      </c>
      <c r="I20" s="115">
        <f>($G20*$J$3+$G20)</f>
        <v>71.747595027836923</v>
      </c>
      <c r="J20" s="116">
        <f>(F20*I20)</f>
        <v>11407.86760942607</v>
      </c>
    </row>
    <row r="21" spans="1:10" s="95" customFormat="1" ht="20.25" customHeight="1" x14ac:dyDescent="0.2">
      <c r="A21" s="75" t="s">
        <v>161</v>
      </c>
      <c r="B21" s="76">
        <v>93358</v>
      </c>
      <c r="C21" s="77" t="s">
        <v>106</v>
      </c>
      <c r="D21" s="146" t="s">
        <v>160</v>
      </c>
      <c r="E21" s="76" t="s">
        <v>40</v>
      </c>
      <c r="F21" s="100">
        <f>'memória de cálculo'!J21</f>
        <v>24.61</v>
      </c>
      <c r="G21" s="117">
        <v>80.739999999999995</v>
      </c>
      <c r="H21" s="106">
        <f t="shared" ref="H21" si="11">F21*G21</f>
        <v>1987.0113999999999</v>
      </c>
      <c r="I21" s="115">
        <f t="shared" ref="I21:I27" si="12">($G21*$J$3+$G21)</f>
        <v>97.131133845532389</v>
      </c>
      <c r="J21" s="116">
        <f>(F21*I21)</f>
        <v>2390.3972039385521</v>
      </c>
    </row>
    <row r="22" spans="1:10" s="95" customFormat="1" x14ac:dyDescent="0.2">
      <c r="A22" s="80" t="s">
        <v>22</v>
      </c>
      <c r="B22" s="81" t="s">
        <v>45</v>
      </c>
      <c r="C22" s="77" t="s">
        <v>107</v>
      </c>
      <c r="D22" s="142" t="s">
        <v>44</v>
      </c>
      <c r="E22" s="81" t="s">
        <v>33</v>
      </c>
      <c r="F22" s="100">
        <v>20.43</v>
      </c>
      <c r="G22" s="118">
        <v>22.72</v>
      </c>
      <c r="H22" s="102">
        <f t="shared" ref="H22:H26" si="13">F22*G22</f>
        <v>464.16959999999995</v>
      </c>
      <c r="I22" s="115">
        <f t="shared" si="12"/>
        <v>27.33241715346168</v>
      </c>
      <c r="J22" s="116">
        <f t="shared" ref="J22:J26" si="14">(F22*I22)</f>
        <v>558.40128244522214</v>
      </c>
    </row>
    <row r="23" spans="1:10" s="95" customFormat="1" x14ac:dyDescent="0.2">
      <c r="A23" s="80" t="s">
        <v>22</v>
      </c>
      <c r="B23" s="81" t="s">
        <v>119</v>
      </c>
      <c r="C23" s="77" t="s">
        <v>108</v>
      </c>
      <c r="D23" s="142" t="s">
        <v>181</v>
      </c>
      <c r="E23" s="81" t="s">
        <v>33</v>
      </c>
      <c r="F23" s="100">
        <f>'memória de cálculo'!J23</f>
        <v>267.06</v>
      </c>
      <c r="G23" s="118">
        <v>43.04</v>
      </c>
      <c r="H23" s="102">
        <f t="shared" si="13"/>
        <v>11494.2624</v>
      </c>
      <c r="I23" s="115">
        <f t="shared" si="12"/>
        <v>51.777607142825296</v>
      </c>
      <c r="J23" s="116">
        <f t="shared" si="14"/>
        <v>13827.727763562923</v>
      </c>
    </row>
    <row r="24" spans="1:10" s="95" customFormat="1" x14ac:dyDescent="0.2">
      <c r="A24" s="80" t="s">
        <v>22</v>
      </c>
      <c r="B24" s="81" t="s">
        <v>47</v>
      </c>
      <c r="C24" s="77" t="s">
        <v>109</v>
      </c>
      <c r="D24" s="142" t="s">
        <v>46</v>
      </c>
      <c r="E24" s="81" t="s">
        <v>40</v>
      </c>
      <c r="F24" s="100">
        <f>'memória de cálculo'!J24</f>
        <v>33.643000000000008</v>
      </c>
      <c r="G24" s="118">
        <v>173.46</v>
      </c>
      <c r="H24" s="102">
        <f t="shared" si="13"/>
        <v>5835.7147800000021</v>
      </c>
      <c r="I24" s="115">
        <f t="shared" si="12"/>
        <v>208.67434328518766</v>
      </c>
      <c r="J24" s="116">
        <f t="shared" si="14"/>
        <v>7020.43093114357</v>
      </c>
    </row>
    <row r="25" spans="1:10" s="95" customFormat="1" x14ac:dyDescent="0.2">
      <c r="A25" s="80" t="s">
        <v>102</v>
      </c>
      <c r="B25" s="81" t="s">
        <v>166</v>
      </c>
      <c r="C25" s="77" t="s">
        <v>110</v>
      </c>
      <c r="D25" s="142" t="s">
        <v>100</v>
      </c>
      <c r="E25" s="81" t="s">
        <v>48</v>
      </c>
      <c r="F25" s="100">
        <f>'memória de cálculo'!J25</f>
        <v>4127.7000000000007</v>
      </c>
      <c r="G25" s="118">
        <v>11.23</v>
      </c>
      <c r="H25" s="102">
        <f t="shared" si="13"/>
        <v>46354.071000000011</v>
      </c>
      <c r="I25" s="115">
        <f t="shared" si="12"/>
        <v>13.509817105342197</v>
      </c>
      <c r="J25" s="116">
        <f t="shared" si="14"/>
        <v>55764.472065720998</v>
      </c>
    </row>
    <row r="26" spans="1:10" s="95" customFormat="1" ht="30" x14ac:dyDescent="0.2">
      <c r="A26" s="80" t="s">
        <v>22</v>
      </c>
      <c r="B26" s="81" t="s">
        <v>182</v>
      </c>
      <c r="C26" s="77" t="s">
        <v>111</v>
      </c>
      <c r="D26" s="142" t="s">
        <v>183</v>
      </c>
      <c r="E26" s="81" t="s">
        <v>40</v>
      </c>
      <c r="F26" s="100">
        <f>'memória de cálculo'!J26</f>
        <v>42.54</v>
      </c>
      <c r="G26" s="118">
        <v>575.28</v>
      </c>
      <c r="H26" s="102">
        <f t="shared" si="13"/>
        <v>24472.411199999999</v>
      </c>
      <c r="I26" s="115">
        <f t="shared" si="12"/>
        <v>692.06835123430619</v>
      </c>
      <c r="J26" s="116">
        <f t="shared" si="14"/>
        <v>29440.587661507383</v>
      </c>
    </row>
    <row r="27" spans="1:10" s="95" customFormat="1" ht="16.5" thickBot="1" x14ac:dyDescent="0.25">
      <c r="A27" s="80" t="s">
        <v>22</v>
      </c>
      <c r="B27" s="81" t="s">
        <v>124</v>
      </c>
      <c r="C27" s="77" t="s">
        <v>122</v>
      </c>
      <c r="D27" s="142" t="s">
        <v>137</v>
      </c>
      <c r="E27" s="81" t="s">
        <v>33</v>
      </c>
      <c r="F27" s="100">
        <f>'memória de cálculo'!J27</f>
        <v>3.4</v>
      </c>
      <c r="G27" s="103">
        <v>8.48</v>
      </c>
      <c r="H27" s="103">
        <f t="shared" ref="H27" si="15">F27*G27</f>
        <v>28.832000000000001</v>
      </c>
      <c r="I27" s="115">
        <f t="shared" si="12"/>
        <v>10.201535979813164</v>
      </c>
      <c r="J27" s="104">
        <f t="shared" ref="J27" si="16">F27*I27</f>
        <v>34.685222331364756</v>
      </c>
    </row>
    <row r="28" spans="1:10" s="95" customFormat="1" ht="16.5" thickBot="1" x14ac:dyDescent="0.25">
      <c r="A28" s="107">
        <v>4</v>
      </c>
      <c r="B28" s="154" t="s">
        <v>38</v>
      </c>
      <c r="C28" s="155"/>
      <c r="D28" s="155"/>
      <c r="E28" s="155"/>
      <c r="F28" s="155"/>
      <c r="G28" s="157"/>
      <c r="H28" s="92">
        <f>SUM(H29:H30)</f>
        <v>4521.4610000000002</v>
      </c>
      <c r="I28" s="92"/>
      <c r="J28" s="108">
        <f>SUM(J29:J30)</f>
        <v>5439.3687585875014</v>
      </c>
    </row>
    <row r="29" spans="1:10" s="95" customFormat="1" ht="30" x14ac:dyDescent="0.2">
      <c r="A29" s="80" t="s">
        <v>102</v>
      </c>
      <c r="B29" s="76" t="s">
        <v>171</v>
      </c>
      <c r="C29" s="77" t="s">
        <v>112</v>
      </c>
      <c r="D29" s="146" t="s">
        <v>170</v>
      </c>
      <c r="E29" s="76" t="s">
        <v>33</v>
      </c>
      <c r="F29" s="100">
        <f>'memória de cálculo'!J29</f>
        <v>50.54</v>
      </c>
      <c r="G29" s="115">
        <v>84.65</v>
      </c>
      <c r="H29" s="115">
        <f t="shared" ref="H29:H30" si="17">F29*G29</f>
        <v>4278.2110000000002</v>
      </c>
      <c r="I29" s="115">
        <f>($G29*$J$3+$G29)</f>
        <v>101.83490810037551</v>
      </c>
      <c r="J29" s="116">
        <f t="shared" ref="J29:J30" si="18">F29*I29</f>
        <v>5146.7362553929788</v>
      </c>
    </row>
    <row r="30" spans="1:10" s="95" customFormat="1" ht="16.5" thickBot="1" x14ac:dyDescent="0.25">
      <c r="A30" s="80" t="s">
        <v>102</v>
      </c>
      <c r="B30" s="76" t="s">
        <v>147</v>
      </c>
      <c r="C30" s="77" t="s">
        <v>113</v>
      </c>
      <c r="D30" s="146" t="s">
        <v>146</v>
      </c>
      <c r="E30" s="76" t="s">
        <v>0</v>
      </c>
      <c r="F30" s="100">
        <f>'memória de cálculo'!J30</f>
        <v>25</v>
      </c>
      <c r="G30" s="115">
        <v>9.73</v>
      </c>
      <c r="H30" s="115">
        <f t="shared" si="17"/>
        <v>243.25</v>
      </c>
      <c r="I30" s="115">
        <f>($G30*$J$3+$G30)</f>
        <v>11.705300127780905</v>
      </c>
      <c r="J30" s="116">
        <f t="shared" si="18"/>
        <v>292.63250319452266</v>
      </c>
    </row>
    <row r="31" spans="1:10" s="95" customFormat="1" ht="16.5" thickBot="1" x14ac:dyDescent="0.25">
      <c r="A31" s="91">
        <v>5</v>
      </c>
      <c r="B31" s="154" t="s">
        <v>172</v>
      </c>
      <c r="C31" s="155"/>
      <c r="D31" s="155"/>
      <c r="E31" s="155"/>
      <c r="F31" s="155"/>
      <c r="G31" s="155"/>
      <c r="H31" s="92">
        <f>SUM(H32:H33)</f>
        <v>661.18065000000001</v>
      </c>
      <c r="I31" s="93"/>
      <c r="J31" s="108">
        <f>SUM(J32:J33)</f>
        <v>795.40780544000643</v>
      </c>
    </row>
    <row r="32" spans="1:10" s="95" customFormat="1" x14ac:dyDescent="0.2">
      <c r="A32" s="80" t="s">
        <v>22</v>
      </c>
      <c r="B32" s="81" t="s">
        <v>47</v>
      </c>
      <c r="C32" s="77" t="s">
        <v>120</v>
      </c>
      <c r="D32" s="142" t="s">
        <v>46</v>
      </c>
      <c r="E32" s="81" t="s">
        <v>40</v>
      </c>
      <c r="F32" s="100">
        <f>'memória de cálculo'!J32</f>
        <v>0.29249999999999998</v>
      </c>
      <c r="G32" s="103">
        <v>173.46</v>
      </c>
      <c r="H32" s="103">
        <f t="shared" ref="H32" si="19">F32*G32</f>
        <v>50.737049999999996</v>
      </c>
      <c r="I32" s="115">
        <f t="shared" ref="I32:I33" si="20">($G32*$J$3+$G32)</f>
        <v>208.67434328518766</v>
      </c>
      <c r="J32" s="104">
        <f t="shared" ref="J32" si="21">F32*I32</f>
        <v>61.037245410917386</v>
      </c>
    </row>
    <row r="33" spans="1:10" s="95" customFormat="1" ht="30.75" thickBot="1" x14ac:dyDescent="0.25">
      <c r="A33" s="80" t="s">
        <v>161</v>
      </c>
      <c r="B33" s="81">
        <v>104626</v>
      </c>
      <c r="C33" s="77" t="s">
        <v>123</v>
      </c>
      <c r="D33" s="142" t="s">
        <v>174</v>
      </c>
      <c r="E33" s="81" t="s">
        <v>40</v>
      </c>
      <c r="F33" s="100">
        <f>'memória de cálculo'!J33</f>
        <v>0.78</v>
      </c>
      <c r="G33" s="103">
        <v>782.62</v>
      </c>
      <c r="H33" s="103">
        <f t="shared" ref="H33" si="22">F33*G33</f>
        <v>610.44360000000006</v>
      </c>
      <c r="I33" s="115">
        <f t="shared" si="20"/>
        <v>941.50071798601152</v>
      </c>
      <c r="J33" s="104">
        <f t="shared" ref="J33" si="23">F33*I33</f>
        <v>734.37056002908901</v>
      </c>
    </row>
    <row r="34" spans="1:10" s="95" customFormat="1" ht="16.5" thickBot="1" x14ac:dyDescent="0.25">
      <c r="A34" s="107">
        <v>6</v>
      </c>
      <c r="B34" s="154" t="s">
        <v>25</v>
      </c>
      <c r="C34" s="155"/>
      <c r="D34" s="155"/>
      <c r="E34" s="155"/>
      <c r="F34" s="155"/>
      <c r="G34" s="157"/>
      <c r="H34" s="92">
        <f>SUM(H35)</f>
        <v>329.64</v>
      </c>
      <c r="I34" s="92"/>
      <c r="J34" s="108">
        <f>SUM(J35)</f>
        <v>396.56065098886916</v>
      </c>
    </row>
    <row r="35" spans="1:10" ht="16.5" thickBot="1" x14ac:dyDescent="0.3">
      <c r="A35" s="80" t="s">
        <v>22</v>
      </c>
      <c r="B35" s="119" t="s">
        <v>10</v>
      </c>
      <c r="C35" s="120" t="s">
        <v>121</v>
      </c>
      <c r="D35" s="121" t="s">
        <v>25</v>
      </c>
      <c r="E35" s="122" t="s">
        <v>33</v>
      </c>
      <c r="F35" s="100">
        <f>'memória de cálculo'!J35</f>
        <v>50.25</v>
      </c>
      <c r="G35" s="123">
        <v>6.56</v>
      </c>
      <c r="H35" s="124">
        <f t="shared" ref="H35" si="24">F35*G35</f>
        <v>329.64</v>
      </c>
      <c r="I35" s="124">
        <f>($G35*$J$3+$G35)</f>
        <v>7.8917542485347099</v>
      </c>
      <c r="J35" s="125">
        <f t="shared" ref="J35" si="25">F35*I35</f>
        <v>396.56065098886916</v>
      </c>
    </row>
    <row r="36" spans="1:10" ht="16.5" thickBot="1" x14ac:dyDescent="0.3">
      <c r="A36" s="201" t="s">
        <v>99</v>
      </c>
      <c r="B36" s="202"/>
      <c r="C36" s="202"/>
      <c r="D36" s="202"/>
      <c r="E36" s="202"/>
      <c r="F36" s="202"/>
      <c r="G36" s="203"/>
      <c r="H36" s="126">
        <f>H8+H15+H17+H28+H31+H34</f>
        <v>119307.54803000001</v>
      </c>
      <c r="I36" s="126"/>
      <c r="J36" s="135">
        <f>J8+J15+J17+J28+J31+J34</f>
        <v>143528.33064756278</v>
      </c>
    </row>
    <row r="37" spans="1:10" x14ac:dyDescent="0.25">
      <c r="A37" s="204"/>
      <c r="B37" s="205"/>
      <c r="C37" s="205"/>
      <c r="D37" s="208"/>
      <c r="E37" s="192" t="s">
        <v>93</v>
      </c>
      <c r="F37" s="193"/>
      <c r="G37" s="193"/>
      <c r="H37" s="193"/>
      <c r="I37" s="193"/>
      <c r="J37" s="194"/>
    </row>
    <row r="38" spans="1:10" x14ac:dyDescent="0.25">
      <c r="A38" s="206"/>
      <c r="B38" s="207"/>
      <c r="C38" s="207"/>
      <c r="D38" s="209"/>
      <c r="E38" s="195"/>
      <c r="F38" s="196"/>
      <c r="G38" s="196"/>
      <c r="H38" s="196"/>
      <c r="I38" s="196"/>
      <c r="J38" s="197"/>
    </row>
    <row r="39" spans="1:10" x14ac:dyDescent="0.25">
      <c r="A39" s="206"/>
      <c r="B39" s="207"/>
      <c r="C39" s="207"/>
      <c r="D39" s="209"/>
      <c r="E39" s="195"/>
      <c r="F39" s="196"/>
      <c r="G39" s="196"/>
      <c r="H39" s="196"/>
      <c r="I39" s="196"/>
      <c r="J39" s="197"/>
    </row>
    <row r="40" spans="1:10" ht="56.25" customHeight="1" thickBot="1" x14ac:dyDescent="0.3">
      <c r="A40" s="211" t="s">
        <v>138</v>
      </c>
      <c r="B40" s="212"/>
      <c r="C40" s="212"/>
      <c r="D40" s="210"/>
      <c r="E40" s="198"/>
      <c r="F40" s="199"/>
      <c r="G40" s="199"/>
      <c r="H40" s="199"/>
      <c r="I40" s="199"/>
      <c r="J40" s="200"/>
    </row>
    <row r="42" spans="1:10" x14ac:dyDescent="0.25">
      <c r="D42" s="128"/>
    </row>
  </sheetData>
  <mergeCells count="30">
    <mergeCell ref="B34:G34"/>
    <mergeCell ref="E37:J40"/>
    <mergeCell ref="A36:G36"/>
    <mergeCell ref="A37:C39"/>
    <mergeCell ref="D37:D40"/>
    <mergeCell ref="A40:C40"/>
    <mergeCell ref="E6:E7"/>
    <mergeCell ref="B3:D3"/>
    <mergeCell ref="H2:J2"/>
    <mergeCell ref="G6:H6"/>
    <mergeCell ref="I6:J6"/>
    <mergeCell ref="H3:I3"/>
    <mergeCell ref="E3:G5"/>
    <mergeCell ref="H5:J5"/>
    <mergeCell ref="A1:A5"/>
    <mergeCell ref="D6:D7"/>
    <mergeCell ref="H1:J1"/>
    <mergeCell ref="B31:G31"/>
    <mergeCell ref="A6:A7"/>
    <mergeCell ref="B28:G28"/>
    <mergeCell ref="F6:F7"/>
    <mergeCell ref="B17:G17"/>
    <mergeCell ref="C6:C7"/>
    <mergeCell ref="B8:G8"/>
    <mergeCell ref="B15:G15"/>
    <mergeCell ref="H4:J4"/>
    <mergeCell ref="B4:D4"/>
    <mergeCell ref="B5:D5"/>
    <mergeCell ref="B1:G2"/>
    <mergeCell ref="B6:B7"/>
  </mergeCells>
  <phoneticPr fontId="12" type="noConversion"/>
  <printOptions horizontalCentered="1" verticalCentered="1"/>
  <pageMargins left="0.51181102362204722" right="0.51181102362204722" top="0.78740157480314965" bottom="0.78740157480314965" header="0.31496062992125984" footer="0.31496062992125984"/>
  <pageSetup paperSize="9" scale="55" fitToHeight="0"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J39"/>
  <sheetViews>
    <sheetView view="pageBreakPreview" zoomScale="55" zoomScaleNormal="100" zoomScaleSheetLayoutView="55" workbookViewId="0">
      <pane xSplit="9" ySplit="5" topLeftCell="J6" activePane="bottomRight" state="frozen"/>
      <selection pane="topRight" activeCell="J1" sqref="J1"/>
      <selection pane="bottomLeft" activeCell="A6" sqref="A6"/>
      <selection pane="bottomRight" activeCell="D9" sqref="D9"/>
    </sheetView>
  </sheetViews>
  <sheetFormatPr defaultRowHeight="40.5" customHeight="1" x14ac:dyDescent="0.25"/>
  <cols>
    <col min="1" max="1" width="27.5703125" style="129" customWidth="1"/>
    <col min="2" max="2" width="15.5703125" style="86" customWidth="1"/>
    <col min="3" max="3" width="9.28515625" style="73" bestFit="1" customWidth="1"/>
    <col min="4" max="4" width="126.42578125" style="73" customWidth="1"/>
    <col min="5" max="5" width="6.5703125" style="73" bestFit="1" customWidth="1"/>
    <col min="6" max="6" width="14.28515625" style="87" customWidth="1"/>
    <col min="7" max="7" width="17.5703125" style="73" customWidth="1"/>
    <col min="8" max="8" width="31" style="73" bestFit="1" customWidth="1"/>
    <col min="9" max="9" width="40.5703125" style="73" customWidth="1"/>
    <col min="10" max="10" width="20.140625" style="73" bestFit="1" customWidth="1"/>
    <col min="11" max="11" width="9.140625" style="73"/>
    <col min="12" max="12" width="31" style="73" customWidth="1"/>
    <col min="13" max="16384" width="9.140625" style="73"/>
  </cols>
  <sheetData>
    <row r="1" spans="1:10" ht="15.75" x14ac:dyDescent="0.25">
      <c r="A1" s="226"/>
      <c r="B1" s="167" t="s">
        <v>26</v>
      </c>
      <c r="C1" s="167"/>
      <c r="D1" s="167"/>
      <c r="E1" s="167"/>
      <c r="F1" s="167"/>
      <c r="G1" s="168"/>
      <c r="H1" s="152" t="str">
        <f>Planilha!H1</f>
        <v>DATA = JUNHO DE 2024</v>
      </c>
      <c r="I1" s="152"/>
      <c r="J1" s="153"/>
    </row>
    <row r="2" spans="1:10" ht="36" customHeight="1" x14ac:dyDescent="0.25">
      <c r="A2" s="227"/>
      <c r="B2" s="169"/>
      <c r="C2" s="169"/>
      <c r="D2" s="169"/>
      <c r="E2" s="169"/>
      <c r="F2" s="169"/>
      <c r="G2" s="170"/>
      <c r="H2" s="173" t="str">
        <f>Planilha!H2</f>
        <v>Data-Base: SINAPI/JUN 2024 - SETOP/AGO 2023 - SUDECAP/MAI 2024</v>
      </c>
      <c r="I2" s="174"/>
      <c r="J2" s="175"/>
    </row>
    <row r="3" spans="1:10" ht="28.5" customHeight="1" x14ac:dyDescent="0.25">
      <c r="A3" s="227"/>
      <c r="B3" s="171" t="str">
        <f>Planilha!B3</f>
        <v>RECOMPOSIÇÃO DE MUROS DE CONTENÇÃO DANIFICADOS</v>
      </c>
      <c r="C3" s="171"/>
      <c r="D3" s="172"/>
      <c r="E3" s="180" t="s">
        <v>9</v>
      </c>
      <c r="F3" s="181"/>
      <c r="G3" s="182"/>
      <c r="H3" s="178" t="s">
        <v>23</v>
      </c>
      <c r="I3" s="179"/>
      <c r="J3" s="88">
        <f>BDI!I7</f>
        <v>0.20301131837419373</v>
      </c>
    </row>
    <row r="4" spans="1:10" ht="24.95" customHeight="1" x14ac:dyDescent="0.25">
      <c r="A4" s="227"/>
      <c r="B4" s="163" t="str">
        <f>Planilha!B4</f>
        <v>LOCAL: RUA VIGILATO DOS SANTOS ROSA, CEDRO DO ABAETÉ - MG</v>
      </c>
      <c r="C4" s="163"/>
      <c r="D4" s="164"/>
      <c r="E4" s="183"/>
      <c r="F4" s="184"/>
      <c r="G4" s="185"/>
      <c r="H4" s="160" t="s">
        <v>128</v>
      </c>
      <c r="I4" s="161"/>
      <c r="J4" s="162"/>
    </row>
    <row r="5" spans="1:10" ht="30" customHeight="1" thickBot="1" x14ac:dyDescent="0.3">
      <c r="A5" s="228"/>
      <c r="B5" s="165" t="str">
        <f>Planilha!B5</f>
        <v>PREFEITURA MUNICIPAL DE CEDRO DO ABAETÉ - MG</v>
      </c>
      <c r="C5" s="165"/>
      <c r="D5" s="166"/>
      <c r="E5" s="186"/>
      <c r="F5" s="187"/>
      <c r="G5" s="188"/>
      <c r="H5" s="189" t="s">
        <v>8</v>
      </c>
      <c r="I5" s="190"/>
      <c r="J5" s="191"/>
    </row>
    <row r="6" spans="1:10" ht="15.75" x14ac:dyDescent="0.25">
      <c r="A6" s="229"/>
      <c r="B6" s="150" t="s">
        <v>1</v>
      </c>
      <c r="C6" s="150" t="s">
        <v>2</v>
      </c>
      <c r="D6" s="150" t="s">
        <v>3</v>
      </c>
      <c r="E6" s="150" t="s">
        <v>0</v>
      </c>
      <c r="F6" s="230" t="s">
        <v>27</v>
      </c>
      <c r="G6" s="230"/>
      <c r="H6" s="232" t="s">
        <v>28</v>
      </c>
      <c r="I6" s="232"/>
      <c r="J6" s="234" t="s">
        <v>29</v>
      </c>
    </row>
    <row r="7" spans="1:10" ht="16.5" thickBot="1" x14ac:dyDescent="0.3">
      <c r="A7" s="229"/>
      <c r="B7" s="151"/>
      <c r="C7" s="151"/>
      <c r="D7" s="151"/>
      <c r="E7" s="151"/>
      <c r="F7" s="231"/>
      <c r="G7" s="231"/>
      <c r="H7" s="233"/>
      <c r="I7" s="233"/>
      <c r="J7" s="235"/>
    </row>
    <row r="8" spans="1:10" ht="16.5" thickBot="1" x14ac:dyDescent="0.3">
      <c r="A8" s="74">
        <f>Planilha!A8</f>
        <v>1</v>
      </c>
      <c r="B8" s="219" t="str">
        <f>Planilha!B8</f>
        <v xml:space="preserve">SERVIÇOS PRELIMINARES </v>
      </c>
      <c r="C8" s="220"/>
      <c r="D8" s="220"/>
      <c r="E8" s="220"/>
      <c r="F8" s="220"/>
      <c r="G8" s="220"/>
      <c r="H8" s="220"/>
      <c r="I8" s="220"/>
      <c r="J8" s="221"/>
    </row>
    <row r="9" spans="1:10" ht="129" customHeight="1" x14ac:dyDescent="0.25">
      <c r="A9" s="75" t="str">
        <f>Planilha!A9</f>
        <v>Setop</v>
      </c>
      <c r="B9" s="76" t="str">
        <f>Planilha!B9</f>
        <v>ED-16660</v>
      </c>
      <c r="C9" s="77" t="str">
        <f>Planilha!C9</f>
        <v>1.1</v>
      </c>
      <c r="D9" s="78" t="str">
        <f>Planilha!D9</f>
        <v>FORNECIMENTO E COLOCAÇÃO DE PLACA DE OBRA EM CHAPA GALVANIZADA #26, ESP. 0,45 MM, PLOTADA COM ADESIVO VINÍLICO, AFIXADA COM REBITES 4,8X40 MM, EM ESTRUTURA METÁLICA DE METALON 20X20 MM, ESP. 1,25 MM, INCLUSIVE SUPORTE EM EUCALIPTO AUTOCLAVADO PINTADO COM TINTA PVA FORNECIMENTO E COLOCAÇÃO DE PLACA DE OBRA EM CHAPA GALVANIZADA #26, ESP. 0,45 MM, PLOTADA COM ADESIVO VINÍLICO, AFIXADA COM REBITES 4,8X40 MM, EM ESTRUTURA METÁLICA DE METALON 20X20 MM, ESP. 1,25 MM, INCLUSIVE SUPORTE EM EUCALIPTO AUTOCLAVADO PINTADO COM TINTA PVA DUAS (2) DEMÃOS</v>
      </c>
      <c r="E9" s="76" t="str">
        <f>Planilha!E9</f>
        <v>m²</v>
      </c>
      <c r="F9" s="214" t="s">
        <v>51</v>
      </c>
      <c r="G9" s="214"/>
      <c r="H9" s="214" t="s">
        <v>90</v>
      </c>
      <c r="I9" s="214"/>
      <c r="J9" s="79">
        <f>1.5*3</f>
        <v>4.5</v>
      </c>
    </row>
    <row r="10" spans="1:10" ht="15.75" x14ac:dyDescent="0.25">
      <c r="A10" s="80" t="str">
        <f>Planilha!A10</f>
        <v>CREA/MG</v>
      </c>
      <c r="B10" s="81" t="str">
        <f>Planilha!B10</f>
        <v>CREA/MG</v>
      </c>
      <c r="C10" s="82" t="str">
        <f>Planilha!C10</f>
        <v>1.2</v>
      </c>
      <c r="D10" s="83" t="str">
        <f>Planilha!D10</f>
        <v>ANOTAÇÃO DE RESPONSABILIDADE TÉCNICA DE EXECUÇÃO / EMISSÃO DE CAT</v>
      </c>
      <c r="E10" s="81" t="str">
        <f>Planilha!E10</f>
        <v>vb</v>
      </c>
      <c r="F10" s="213" t="s">
        <v>52</v>
      </c>
      <c r="G10" s="213"/>
      <c r="H10" s="213" t="s">
        <v>54</v>
      </c>
      <c r="I10" s="213"/>
      <c r="J10" s="84">
        <v>1</v>
      </c>
    </row>
    <row r="11" spans="1:10" ht="15.75" x14ac:dyDescent="0.25">
      <c r="A11" s="80" t="str">
        <f>Planilha!A11</f>
        <v>Sudecap (Insumos)</v>
      </c>
      <c r="B11" s="81" t="str">
        <f>Planilha!B11</f>
        <v>89.50.02</v>
      </c>
      <c r="C11" s="82" t="str">
        <f>Planilha!C11</f>
        <v>1.3</v>
      </c>
      <c r="D11" s="83" t="str">
        <f>Planilha!D11</f>
        <v>CONTAINER 6,0X2,30X2,82M COM ISOLAMENTO TERMICO</v>
      </c>
      <c r="E11" s="81" t="str">
        <f>Planilha!E11</f>
        <v>mês</v>
      </c>
      <c r="F11" s="213" t="s">
        <v>53</v>
      </c>
      <c r="G11" s="213"/>
      <c r="H11" s="213" t="s">
        <v>54</v>
      </c>
      <c r="I11" s="213"/>
      <c r="J11" s="85">
        <v>2</v>
      </c>
    </row>
    <row r="12" spans="1:10" ht="15.75" x14ac:dyDescent="0.25">
      <c r="A12" s="80" t="str">
        <f>Planilha!A12</f>
        <v>Sudecap (Construção)</v>
      </c>
      <c r="B12" s="81" t="str">
        <f>Planilha!B12</f>
        <v>01.10.01</v>
      </c>
      <c r="C12" s="82" t="str">
        <f>Planilha!C12</f>
        <v>1.4</v>
      </c>
      <c r="D12" s="83" t="str">
        <f>Planilha!D12</f>
        <v>BANHEIRO QUIMICO 110X120X230CM COM MANUTENCAO</v>
      </c>
      <c r="E12" s="81" t="str">
        <f>Planilha!E12</f>
        <v>mês</v>
      </c>
      <c r="F12" s="213" t="s">
        <v>52</v>
      </c>
      <c r="G12" s="213"/>
      <c r="H12" s="213" t="s">
        <v>54</v>
      </c>
      <c r="I12" s="213"/>
      <c r="J12" s="85">
        <v>2</v>
      </c>
    </row>
    <row r="13" spans="1:10" ht="36.75" customHeight="1" x14ac:dyDescent="0.25">
      <c r="A13" s="80" t="str">
        <f>Planilha!A13</f>
        <v>Setop</v>
      </c>
      <c r="B13" s="81" t="str">
        <f>Planilha!B13</f>
        <v>ED-9076</v>
      </c>
      <c r="C13" s="82" t="str">
        <f>Planilha!C13</f>
        <v>1.5</v>
      </c>
      <c r="D13" s="83" t="str">
        <f>Planilha!D13</f>
        <v>FORNECIMENTO DE ANDAIME METÁLICO TUBULAR TIPO TORRE (LOCAÇÃO), INCLUSIVE RODÍZIOS, EXCLUSIVE MONTAGEM E DESMONTAGEM</v>
      </c>
      <c r="E13" s="81" t="str">
        <f>Planilha!E13</f>
        <v>mxmês</v>
      </c>
      <c r="F13" s="213" t="s">
        <v>136</v>
      </c>
      <c r="G13" s="213"/>
      <c r="H13" s="213" t="s">
        <v>180</v>
      </c>
      <c r="I13" s="213"/>
      <c r="J13" s="85">
        <f>((25+2.05)*2)*2</f>
        <v>108.2</v>
      </c>
    </row>
    <row r="14" spans="1:10" ht="36.75" customHeight="1" thickBot="1" x14ac:dyDescent="0.3">
      <c r="A14" s="80" t="str">
        <f>Planilha!A14</f>
        <v>Setop</v>
      </c>
      <c r="B14" s="81" t="str">
        <f>Planilha!B14</f>
        <v xml:space="preserve">ED-9077 </v>
      </c>
      <c r="C14" s="82" t="str">
        <f>Planilha!C14</f>
        <v>1.7</v>
      </c>
      <c r="D14" s="83" t="str">
        <f>Planilha!D14</f>
        <v>MONTAGEM E DESMONTAGEM DE ANDAIME METÁLICO TUBULAR TIPO TORRE, EXCLUSIVE FORNECIMENTO DO ANDAIME</v>
      </c>
      <c r="E14" s="81" t="str">
        <f>Planilha!E14</f>
        <v>m</v>
      </c>
      <c r="F14" s="213" t="s">
        <v>136</v>
      </c>
      <c r="G14" s="213"/>
      <c r="H14" s="213" t="s">
        <v>179</v>
      </c>
      <c r="I14" s="213"/>
      <c r="J14" s="85">
        <f>((25+2.05))*2</f>
        <v>54.1</v>
      </c>
    </row>
    <row r="15" spans="1:10" ht="16.5" thickBot="1" x14ac:dyDescent="0.3">
      <c r="A15" s="74">
        <f>Planilha!A15</f>
        <v>2</v>
      </c>
      <c r="B15" s="219" t="str">
        <f>Planilha!B15</f>
        <v>DEMOLIÇÕES E REMOÇÕES</v>
      </c>
      <c r="C15" s="220"/>
      <c r="D15" s="220"/>
      <c r="E15" s="220"/>
      <c r="F15" s="220"/>
      <c r="G15" s="220"/>
      <c r="H15" s="220"/>
      <c r="I15" s="220"/>
      <c r="J15" s="221"/>
    </row>
    <row r="16" spans="1:10" ht="111" customHeight="1" thickBot="1" x14ac:dyDescent="0.3">
      <c r="A16" s="80" t="str">
        <f>Planilha!A16</f>
        <v>Sudecap (Construção)</v>
      </c>
      <c r="B16" s="81" t="str">
        <f>Planilha!B16</f>
        <v>02.13.04</v>
      </c>
      <c r="C16" s="82" t="str">
        <f>Planilha!C16</f>
        <v>2.1</v>
      </c>
      <c r="D16" s="83" t="str">
        <f>Planilha!D16</f>
        <v>DEMOLIÇÃO MANUAL DE CONCRETOARMADO INCLUSIVE AFASTAMENTO</v>
      </c>
      <c r="E16" s="81" t="str">
        <f>Planilha!E16</f>
        <v>m²</v>
      </c>
      <c r="F16" s="217" t="str">
        <f>F29</f>
        <v>Proj. Estrutural</v>
      </c>
      <c r="G16" s="218"/>
      <c r="H16" s="217" t="s">
        <v>158</v>
      </c>
      <c r="I16" s="218"/>
      <c r="J16" s="85">
        <f>((3.5*1.5)*2)</f>
        <v>10.5</v>
      </c>
    </row>
    <row r="17" spans="1:10" ht="16.5" thickBot="1" x14ac:dyDescent="0.3">
      <c r="A17" s="74">
        <f>Planilha!A17</f>
        <v>3</v>
      </c>
      <c r="B17" s="219" t="str">
        <f>Planilha!B17</f>
        <v>INFRAESTRUTURA E SUPERESTRUTURA</v>
      </c>
      <c r="C17" s="220"/>
      <c r="D17" s="220"/>
      <c r="E17" s="220"/>
      <c r="F17" s="220"/>
      <c r="G17" s="220"/>
      <c r="H17" s="220"/>
      <c r="I17" s="220"/>
      <c r="J17" s="221"/>
    </row>
    <row r="18" spans="1:10" ht="254.25" customHeight="1" x14ac:dyDescent="0.25">
      <c r="A18" s="75" t="str">
        <f>Planilha!A18</f>
        <v>Sudecap (Construção)</v>
      </c>
      <c r="B18" s="76" t="str">
        <f>Planilha!B18</f>
        <v>01.17.01</v>
      </c>
      <c r="C18" s="77" t="str">
        <f>Planilha!C18</f>
        <v>3.1</v>
      </c>
      <c r="D18" s="78" t="str">
        <f>Planilha!D18</f>
        <v xml:space="preserve">LOCAÇAO DE GABARITO DE OBRA </v>
      </c>
      <c r="E18" s="76" t="str">
        <f>Planilha!E18</f>
        <v>m</v>
      </c>
      <c r="F18" s="238" t="s">
        <v>157</v>
      </c>
      <c r="G18" s="239"/>
      <c r="H18" s="238" t="s">
        <v>145</v>
      </c>
      <c r="I18" s="239"/>
      <c r="J18" s="79">
        <f>33.5</f>
        <v>33.5</v>
      </c>
    </row>
    <row r="19" spans="1:10" ht="254.25" customHeight="1" x14ac:dyDescent="0.25">
      <c r="A19" s="75" t="str">
        <f>Planilha!A19</f>
        <v>Sudecap (Construção)</v>
      </c>
      <c r="B19" s="76" t="str">
        <f>Planilha!B19</f>
        <v>04.04.01</v>
      </c>
      <c r="C19" s="77" t="str">
        <f>Planilha!C19</f>
        <v>3.2</v>
      </c>
      <c r="D19" s="78" t="str">
        <f>Planilha!D19</f>
        <v>MOBILIZAÇAO E DESMOBILIZAÇAO DE EQUIPAMENTO</v>
      </c>
      <c r="E19" s="76" t="str">
        <f>Planilha!E19</f>
        <v xml:space="preserve">UN </v>
      </c>
      <c r="F19" s="215" t="s">
        <v>54</v>
      </c>
      <c r="G19" s="216"/>
      <c r="H19" s="215" t="s">
        <v>151</v>
      </c>
      <c r="I19" s="216"/>
      <c r="J19" s="85">
        <v>2</v>
      </c>
    </row>
    <row r="20" spans="1:10" ht="147.75" customHeight="1" x14ac:dyDescent="0.25">
      <c r="A20" s="80" t="str">
        <f>Planilha!A20</f>
        <v>Sudecap (Construção)</v>
      </c>
      <c r="B20" s="81" t="str">
        <f>Planilha!B20</f>
        <v>04.04.08</v>
      </c>
      <c r="C20" s="82" t="str">
        <f>Planilha!C20</f>
        <v>3.3</v>
      </c>
      <c r="D20" s="83" t="str">
        <f>Planilha!D20</f>
        <v>ESTACA TRADO MECANIZADO, SEM FLUIDO ESTABILIZANTE, D=40CM, INCL. CONCRETO, EXCL. ARMAÇÃO</v>
      </c>
      <c r="E20" s="81" t="str">
        <f>Planilha!E20</f>
        <v>m</v>
      </c>
      <c r="F20" s="222" t="s">
        <v>156</v>
      </c>
      <c r="G20" s="223"/>
      <c r="H20" s="222" t="s">
        <v>155</v>
      </c>
      <c r="I20" s="223"/>
      <c r="J20" s="84">
        <f>21*7+2*6</f>
        <v>159</v>
      </c>
    </row>
    <row r="21" spans="1:10" ht="399" customHeight="1" x14ac:dyDescent="0.25">
      <c r="A21" s="80" t="str">
        <f>Planilha!A21</f>
        <v>Sinapi (composição)</v>
      </c>
      <c r="B21" s="81">
        <f>Planilha!B21</f>
        <v>93358</v>
      </c>
      <c r="C21" s="82" t="str">
        <f>Planilha!C21</f>
        <v>3.4</v>
      </c>
      <c r="D21" s="83" t="str">
        <f>Planilha!D21</f>
        <v>ESCAVAÇÃO MANUAL DE VALA COM PROFUNDIDADE MENOR OU IGUAL A 1,30m, INCLUSIVE DESCARGA LATERAL</v>
      </c>
      <c r="E21" s="81" t="str">
        <f>Planilha!E21</f>
        <v>m³</v>
      </c>
      <c r="F21" s="222" t="s">
        <v>115</v>
      </c>
      <c r="G21" s="223"/>
      <c r="H21" s="222" t="s">
        <v>159</v>
      </c>
      <c r="I21" s="223"/>
      <c r="J21" s="84">
        <f>14.72+9.89</f>
        <v>24.61</v>
      </c>
    </row>
    <row r="22" spans="1:10" ht="167.25" customHeight="1" x14ac:dyDescent="0.25">
      <c r="A22" s="75" t="str">
        <f>Planilha!A22</f>
        <v>Setop</v>
      </c>
      <c r="B22" s="76" t="str">
        <f>Planilha!B22</f>
        <v xml:space="preserve">ED-51093 </v>
      </c>
      <c r="C22" s="77" t="str">
        <f>Planilha!C22</f>
        <v>3.5</v>
      </c>
      <c r="D22" s="78" t="str">
        <f>Planilha!D22</f>
        <v xml:space="preserve">APILOAMENTO DO FUNDO DE VALAS COM SOQUETE </v>
      </c>
      <c r="E22" s="76" t="str">
        <f>Planilha!E22</f>
        <v>m²</v>
      </c>
      <c r="F22" s="222" t="s">
        <v>163</v>
      </c>
      <c r="G22" s="223"/>
      <c r="H22" s="222" t="s">
        <v>162</v>
      </c>
      <c r="I22" s="223"/>
      <c r="J22" s="84">
        <f>0.2*8.2+0.2*8.1+0.2*11.35+0.2*5.05+0.2*4.2+0.2*8.1+0.2*4.05+0.2*4.15+0.2*5.05+0.2*4.3+0.2*4.2+0.2*4.25+0.2*4.1+0.2*4.05+0.2*4.15+0.2*3.8+0.2*4.25+0.2*4.2+0.2*4.25+0.2*4.1+0.2*4.05+0.2*4.3</f>
        <v>22.450000000000003</v>
      </c>
    </row>
    <row r="23" spans="1:10" ht="15.75" x14ac:dyDescent="0.25">
      <c r="A23" s="80" t="str">
        <f>Planilha!A23</f>
        <v>Setop</v>
      </c>
      <c r="B23" s="81" t="str">
        <f>Planilha!B23</f>
        <v>ED-8471</v>
      </c>
      <c r="C23" s="82" t="str">
        <f>Planilha!C23</f>
        <v>3.6</v>
      </c>
      <c r="D23" s="83" t="str">
        <f>Planilha!D23</f>
        <v xml:space="preserve">FÔRMA E DESFORMA DE TÁBUA E SARRAFO, REAPROVEITAMENTO (5X), </v>
      </c>
      <c r="E23" s="81" t="str">
        <f>Planilha!E23</f>
        <v>m²</v>
      </c>
      <c r="F23" s="222" t="s">
        <v>114</v>
      </c>
      <c r="G23" s="223"/>
      <c r="H23" s="222" t="s">
        <v>164</v>
      </c>
      <c r="I23" s="223"/>
      <c r="J23" s="84">
        <f>71.62+72.06+123.38</f>
        <v>267.06</v>
      </c>
    </row>
    <row r="24" spans="1:10" ht="105.75" customHeight="1" x14ac:dyDescent="0.25">
      <c r="A24" s="80" t="str">
        <f>Planilha!A24</f>
        <v>Setop</v>
      </c>
      <c r="B24" s="81" t="str">
        <f>Planilha!B24</f>
        <v>ED-49813</v>
      </c>
      <c r="C24" s="82" t="str">
        <f>Planilha!C24</f>
        <v>3.7</v>
      </c>
      <c r="D24" s="83" t="str">
        <f>Planilha!D24</f>
        <v xml:space="preserve">LASTRO DE BRITA 2 OU 3 APILOADO MANUALMENTE </v>
      </c>
      <c r="E24" s="81" t="str">
        <f>Planilha!E24</f>
        <v>m³</v>
      </c>
      <c r="F24" s="222" t="s">
        <v>118</v>
      </c>
      <c r="G24" s="223"/>
      <c r="H24" s="222" t="s">
        <v>165</v>
      </c>
      <c r="I24" s="223"/>
      <c r="J24" s="84">
        <f>(0.7*2.5+(0.7*0.8)*2+1.1*0.5+0.9*0.5+0.603+0.2*0.8)+8.2+0.2*8.1+0.2*11.35+0.2*5.05+0.2*4.2+0.2*8.1+0.2*4.05+0.2*4.15+0.2*5.05+0.2*4.3+0.2*4.2+0.2*4.25+0.2*4.1+0.2*4.05+0.2*4.15+0.2*3.8+0.2*4.25+0.2*4.2+0.2*4.25+0.2*4.1+0.2*4.05+0.2*4.3</f>
        <v>33.643000000000008</v>
      </c>
    </row>
    <row r="25" spans="1:10" ht="15.75" x14ac:dyDescent="0.25">
      <c r="A25" s="75" t="str">
        <f>Planilha!A25</f>
        <v>Sudecap (Construção)</v>
      </c>
      <c r="B25" s="76" t="str">
        <f>Planilha!B25</f>
        <v>05.05.01</v>
      </c>
      <c r="C25" s="77" t="str">
        <f>Planilha!C25</f>
        <v>3.8</v>
      </c>
      <c r="D25" s="78" t="str">
        <f>Planilha!D25</f>
        <v>CORTE, DOBRA E MONTAGEM DE AÇO CA-50/60, INCLUSIVE ESPAÇADOR</v>
      </c>
      <c r="E25" s="76" t="str">
        <f>Planilha!E25</f>
        <v>kg</v>
      </c>
      <c r="F25" s="222" t="s">
        <v>114</v>
      </c>
      <c r="G25" s="223"/>
      <c r="H25" s="222" t="s">
        <v>54</v>
      </c>
      <c r="I25" s="223"/>
      <c r="J25" s="84">
        <f>1205+25+1050.9+103.8+229.5+1411.4+102.1</f>
        <v>4127.7000000000007</v>
      </c>
    </row>
    <row r="26" spans="1:10" ht="30" x14ac:dyDescent="0.25">
      <c r="A26" s="80" t="str">
        <f>Planilha!A26</f>
        <v>Setop</v>
      </c>
      <c r="B26" s="81" t="str">
        <f>Planilha!B26</f>
        <v xml:space="preserve">RO-42417 </v>
      </c>
      <c r="C26" s="82" t="str">
        <f>Planilha!C26</f>
        <v>3.9</v>
      </c>
      <c r="D26" s="83" t="str">
        <f>Planilha!D26</f>
        <v xml:space="preserve">FORNECIMENTO DE CONCRETO ESTRUTURAL, COM FCK 25MPA, INCLUSIVE LANÇAMENTO, ADENSAMENTO E ACABAMENTO </v>
      </c>
      <c r="E26" s="81" t="str">
        <f>Planilha!E26</f>
        <v>m³</v>
      </c>
      <c r="F26" s="222" t="s">
        <v>114</v>
      </c>
      <c r="G26" s="223"/>
      <c r="H26" s="222" t="s">
        <v>167</v>
      </c>
      <c r="I26" s="223"/>
      <c r="J26" s="84">
        <f>10.06+6.05+26.43</f>
        <v>42.54</v>
      </c>
    </row>
    <row r="27" spans="1:10" ht="86.25" customHeight="1" thickBot="1" x14ac:dyDescent="0.3">
      <c r="A27" s="130" t="str">
        <f>Planilha!A27</f>
        <v>Setop</v>
      </c>
      <c r="B27" s="131" t="str">
        <f>Planilha!B27</f>
        <v>ED-8145</v>
      </c>
      <c r="C27" s="132" t="str">
        <f>Planilha!C27</f>
        <v>3.10</v>
      </c>
      <c r="D27" s="133" t="str">
        <f>Planilha!D27</f>
        <v xml:space="preserve">JUNTA DE DILATAÇÃO COM ISOPOR 20 MM APLICADA NOS MUROS </v>
      </c>
      <c r="E27" s="131" t="str">
        <f>Planilha!E27</f>
        <v>m²</v>
      </c>
      <c r="F27" s="236" t="s">
        <v>168</v>
      </c>
      <c r="G27" s="237"/>
      <c r="H27" s="236" t="s">
        <v>169</v>
      </c>
      <c r="I27" s="237"/>
      <c r="J27" s="134">
        <f>3.4</f>
        <v>3.4</v>
      </c>
    </row>
    <row r="28" spans="1:10" ht="16.5" thickBot="1" x14ac:dyDescent="0.3">
      <c r="A28" s="74">
        <f>Planilha!A28</f>
        <v>4</v>
      </c>
      <c r="B28" s="219" t="str">
        <f>Planilha!B28</f>
        <v>ALVENARIAS</v>
      </c>
      <c r="C28" s="220"/>
      <c r="D28" s="220"/>
      <c r="E28" s="220"/>
      <c r="F28" s="220"/>
      <c r="G28" s="220"/>
      <c r="H28" s="220"/>
      <c r="I28" s="220"/>
      <c r="J28" s="221"/>
    </row>
    <row r="29" spans="1:10" ht="233.25" customHeight="1" x14ac:dyDescent="0.25">
      <c r="A29" s="75" t="str">
        <f>Planilha!A29</f>
        <v>Sudecap (Construção)</v>
      </c>
      <c r="B29" s="76" t="str">
        <f>Planilha!B29</f>
        <v>40.30.32</v>
      </c>
      <c r="C29" s="77" t="str">
        <f>Planilha!C29</f>
        <v>4.1</v>
      </c>
      <c r="D29" s="78" t="str">
        <f>Planilha!D29</f>
        <v>ALVENARIA DE VEDAÇÃO COM BLOCO DE CONCRETO, ESP. 20CM, APARENTE, INCLUSIVE ARGAMASSA PARA ASSENTAMENTO</v>
      </c>
      <c r="E29" s="76" t="str">
        <f>Planilha!E29</f>
        <v>m²</v>
      </c>
      <c r="F29" s="213" t="s">
        <v>114</v>
      </c>
      <c r="G29" s="213"/>
      <c r="H29" s="214"/>
      <c r="I29" s="214"/>
      <c r="J29" s="79">
        <f>1.7+2.33+2.7+2.93+7.04+7.3+13.46+13.08</f>
        <v>50.54</v>
      </c>
    </row>
    <row r="30" spans="1:10" ht="233.25" customHeight="1" thickBot="1" x14ac:dyDescent="0.3">
      <c r="A30" s="75" t="str">
        <f>Planilha!A30</f>
        <v>Sudecap (Construção)</v>
      </c>
      <c r="B30" s="76" t="str">
        <f>Planilha!B30</f>
        <v>05.12.01</v>
      </c>
      <c r="C30" s="77" t="str">
        <f>Planilha!C30</f>
        <v>4.2</v>
      </c>
      <c r="D30" s="78" t="str">
        <f>Planilha!D30</f>
        <v>DRENO BARBACÃ DN 50 MM E COMPRIMENTO DE 0,50M</v>
      </c>
      <c r="E30" s="76" t="str">
        <f>Planilha!E30</f>
        <v xml:space="preserve">UN </v>
      </c>
      <c r="F30" s="213" t="s">
        <v>114</v>
      </c>
      <c r="G30" s="213"/>
      <c r="H30" s="214" t="s">
        <v>148</v>
      </c>
      <c r="I30" s="214"/>
      <c r="J30" s="85">
        <f>(2*25)/2</f>
        <v>25</v>
      </c>
    </row>
    <row r="31" spans="1:10" ht="16.5" thickBot="1" x14ac:dyDescent="0.3">
      <c r="A31" s="74">
        <f>Planilha!A31</f>
        <v>5</v>
      </c>
      <c r="B31" s="219" t="str">
        <f>Planilha!B31</f>
        <v>CALÇADA</v>
      </c>
      <c r="C31" s="220"/>
      <c r="D31" s="220"/>
      <c r="E31" s="220"/>
      <c r="F31" s="220"/>
      <c r="G31" s="220"/>
      <c r="H31" s="220"/>
      <c r="I31" s="220"/>
      <c r="J31" s="221"/>
    </row>
    <row r="32" spans="1:10" ht="56.25" customHeight="1" thickBot="1" x14ac:dyDescent="0.3">
      <c r="A32" s="75" t="str">
        <f>Planilha!A32</f>
        <v>Setop</v>
      </c>
      <c r="B32" s="76" t="str">
        <f>Planilha!B32</f>
        <v>ED-49813</v>
      </c>
      <c r="C32" s="77" t="str">
        <f>Planilha!C32</f>
        <v>5.1</v>
      </c>
      <c r="D32" s="78" t="str">
        <f>Planilha!D32</f>
        <v xml:space="preserve">LASTRO DE BRITA 2 OU 3 APILOADO MANUALMENTE </v>
      </c>
      <c r="E32" s="76" t="str">
        <f>Planilha!E32</f>
        <v>m³</v>
      </c>
      <c r="F32" s="213" t="s">
        <v>117</v>
      </c>
      <c r="G32" s="213"/>
      <c r="H32" s="214" t="s">
        <v>175</v>
      </c>
      <c r="I32" s="214"/>
      <c r="J32" s="79">
        <f>1.5*6.5*0.03</f>
        <v>0.29249999999999998</v>
      </c>
    </row>
    <row r="33" spans="1:10" ht="61.5" customHeight="1" thickBot="1" x14ac:dyDescent="0.3">
      <c r="A33" s="80" t="str">
        <f>Planilha!A33</f>
        <v>Sinapi (composição)</v>
      </c>
      <c r="B33" s="81">
        <f>Planilha!B33</f>
        <v>104626</v>
      </c>
      <c r="C33" s="82" t="str">
        <f>Planilha!C33</f>
        <v>5.2</v>
      </c>
      <c r="D33" s="83" t="str">
        <f>Planilha!D33</f>
        <v>EXECUÇÃO DE PASSEIO (CALÇADA) OU PISO DE CONCRETO COM CONCRETO MOLDADO IN LOCO, USINADO C25, ACABAMENTO CONVENCIONAL, NÃO ARMADO</v>
      </c>
      <c r="E33" s="81" t="str">
        <f>Planilha!E33</f>
        <v>m³</v>
      </c>
      <c r="F33" s="213" t="s">
        <v>176</v>
      </c>
      <c r="G33" s="213"/>
      <c r="H33" s="214" t="s">
        <v>173</v>
      </c>
      <c r="I33" s="214"/>
      <c r="J33" s="79">
        <f>1.5*6.5*0.08</f>
        <v>0.78</v>
      </c>
    </row>
    <row r="34" spans="1:10" ht="16.5" thickBot="1" x14ac:dyDescent="0.3">
      <c r="A34" s="74">
        <f>Planilha!A34</f>
        <v>6</v>
      </c>
      <c r="B34" s="219" t="str">
        <f>Planilha!B34</f>
        <v>LIMPEZA FINAL PARA ENTREGA DA OBRA</v>
      </c>
      <c r="C34" s="220"/>
      <c r="D34" s="220"/>
      <c r="E34" s="220"/>
      <c r="F34" s="220"/>
      <c r="G34" s="220"/>
      <c r="H34" s="220"/>
      <c r="I34" s="220"/>
      <c r="J34" s="221"/>
    </row>
    <row r="35" spans="1:10" ht="16.5" thickBot="1" x14ac:dyDescent="0.3">
      <c r="A35" s="75" t="str">
        <f>Planilha!A35</f>
        <v>Setop</v>
      </c>
      <c r="B35" s="76" t="str">
        <f>Planilha!B35</f>
        <v>ED-50266</v>
      </c>
      <c r="C35" s="77" t="str">
        <f>Planilha!C35</f>
        <v>10.1</v>
      </c>
      <c r="D35" s="78" t="str">
        <f>Planilha!D35</f>
        <v>LIMPEZA FINAL PARA ENTREGA DA OBRA</v>
      </c>
      <c r="E35" s="76" t="str">
        <f>Planilha!E35</f>
        <v>m²</v>
      </c>
      <c r="F35" s="214" t="s">
        <v>177</v>
      </c>
      <c r="G35" s="214"/>
      <c r="H35" s="214" t="s">
        <v>178</v>
      </c>
      <c r="I35" s="214"/>
      <c r="J35" s="79">
        <f>33.5*1.5</f>
        <v>50.25</v>
      </c>
    </row>
    <row r="36" spans="1:10" ht="15.75" x14ac:dyDescent="0.25">
      <c r="A36" s="204" t="s">
        <v>24</v>
      </c>
      <c r="B36" s="205"/>
      <c r="C36" s="205"/>
      <c r="D36" s="208"/>
      <c r="E36" s="192" t="str">
        <f>Planilha!E37</f>
        <v>OBS: 1) Todos os itens deverão estar completamente concluídos e dentro das especificações de projetos para medição da etapa. Os materiais empregados, deverão rigorosamente seguir as especificações de qualidade destacadas na presente planilha.</v>
      </c>
      <c r="F36" s="193"/>
      <c r="G36" s="193"/>
      <c r="H36" s="193"/>
      <c r="I36" s="193"/>
      <c r="J36" s="194"/>
    </row>
    <row r="37" spans="1:10" ht="15.75" x14ac:dyDescent="0.25">
      <c r="A37" s="206"/>
      <c r="B37" s="207"/>
      <c r="C37" s="207"/>
      <c r="D37" s="209"/>
      <c r="E37" s="195"/>
      <c r="F37" s="196"/>
      <c r="G37" s="196"/>
      <c r="H37" s="196"/>
      <c r="I37" s="196"/>
      <c r="J37" s="197"/>
    </row>
    <row r="38" spans="1:10" ht="15.75" x14ac:dyDescent="0.25">
      <c r="A38" s="206"/>
      <c r="B38" s="207"/>
      <c r="C38" s="207"/>
      <c r="D38" s="209"/>
      <c r="E38" s="195"/>
      <c r="F38" s="196"/>
      <c r="G38" s="196"/>
      <c r="H38" s="196"/>
      <c r="I38" s="196"/>
      <c r="J38" s="197"/>
    </row>
    <row r="39" spans="1:10" ht="45" customHeight="1" thickBot="1" x14ac:dyDescent="0.3">
      <c r="A39" s="224" t="str">
        <f>Planilha!A40</f>
        <v>JOÃO RAFAEL BUENO DE MORAIS LOPES
CREA-MG:235527/D</v>
      </c>
      <c r="B39" s="225"/>
      <c r="C39" s="225"/>
      <c r="D39" s="210"/>
      <c r="E39" s="198"/>
      <c r="F39" s="199"/>
      <c r="G39" s="199"/>
      <c r="H39" s="199"/>
      <c r="I39" s="199"/>
      <c r="J39" s="200"/>
    </row>
  </sheetData>
  <mergeCells count="73">
    <mergeCell ref="F33:G33"/>
    <mergeCell ref="H33:I33"/>
    <mergeCell ref="H27:I27"/>
    <mergeCell ref="F27:G27"/>
    <mergeCell ref="B17:J17"/>
    <mergeCell ref="H18:I18"/>
    <mergeCell ref="F18:G18"/>
    <mergeCell ref="H26:I26"/>
    <mergeCell ref="F26:G26"/>
    <mergeCell ref="H25:I25"/>
    <mergeCell ref="F25:G25"/>
    <mergeCell ref="F29:G29"/>
    <mergeCell ref="H29:I29"/>
    <mergeCell ref="B31:J31"/>
    <mergeCell ref="F32:G32"/>
    <mergeCell ref="H32:I32"/>
    <mergeCell ref="F11:G11"/>
    <mergeCell ref="H11:I11"/>
    <mergeCell ref="E6:E7"/>
    <mergeCell ref="F6:G7"/>
    <mergeCell ref="B8:J8"/>
    <mergeCell ref="H6:I7"/>
    <mergeCell ref="J6:J7"/>
    <mergeCell ref="F9:G9"/>
    <mergeCell ref="H9:I9"/>
    <mergeCell ref="F10:G10"/>
    <mergeCell ref="H10:I10"/>
    <mergeCell ref="B34:J34"/>
    <mergeCell ref="H5:J5"/>
    <mergeCell ref="A1:A5"/>
    <mergeCell ref="B1:G2"/>
    <mergeCell ref="H1:J1"/>
    <mergeCell ref="H2:J2"/>
    <mergeCell ref="B3:D3"/>
    <mergeCell ref="E3:G5"/>
    <mergeCell ref="H3:I3"/>
    <mergeCell ref="B4:D4"/>
    <mergeCell ref="H4:J4"/>
    <mergeCell ref="B5:D5"/>
    <mergeCell ref="A6:A7"/>
    <mergeCell ref="B6:B7"/>
    <mergeCell ref="C6:C7"/>
    <mergeCell ref="D6:D7"/>
    <mergeCell ref="A36:C38"/>
    <mergeCell ref="A39:C39"/>
    <mergeCell ref="D36:D39"/>
    <mergeCell ref="F35:G35"/>
    <mergeCell ref="H35:I35"/>
    <mergeCell ref="E36:J39"/>
    <mergeCell ref="F24:G24"/>
    <mergeCell ref="H24:I24"/>
    <mergeCell ref="F13:G13"/>
    <mergeCell ref="H13:I13"/>
    <mergeCell ref="F14:G14"/>
    <mergeCell ref="H14:I14"/>
    <mergeCell ref="F16:G16"/>
    <mergeCell ref="B15:J15"/>
    <mergeCell ref="F30:G30"/>
    <mergeCell ref="H30:I30"/>
    <mergeCell ref="F19:G19"/>
    <mergeCell ref="H19:I19"/>
    <mergeCell ref="F12:G12"/>
    <mergeCell ref="H12:I12"/>
    <mergeCell ref="H16:I16"/>
    <mergeCell ref="B28:J28"/>
    <mergeCell ref="F20:G20"/>
    <mergeCell ref="H20:I20"/>
    <mergeCell ref="F21:G21"/>
    <mergeCell ref="H21:I21"/>
    <mergeCell ref="F22:G22"/>
    <mergeCell ref="H22:I22"/>
    <mergeCell ref="F23:G23"/>
    <mergeCell ref="H23:I23"/>
  </mergeCells>
  <phoneticPr fontId="12" type="noConversion"/>
  <printOptions horizontalCentered="1" verticalCentered="1"/>
  <pageMargins left="0.51181102362204722" right="0.51181102362204722" top="0.78740157480314965" bottom="0.78740157480314965" header="0.31496062992125984" footer="0.31496062992125984"/>
  <pageSetup paperSize="9" scale="44" fitToHeight="3"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rowBreaks count="1" manualBreakCount="1">
    <brk id="21" max="9"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K25"/>
  <sheetViews>
    <sheetView showGridLines="0" view="pageBreakPreview" zoomScaleNormal="100" zoomScaleSheetLayoutView="100" workbookViewId="0">
      <selection activeCell="E13" sqref="E13"/>
    </sheetView>
  </sheetViews>
  <sheetFormatPr defaultRowHeight="15" x14ac:dyDescent="0.25"/>
  <cols>
    <col min="1" max="1" width="5.42578125" style="12" bestFit="1" customWidth="1"/>
    <col min="2" max="2" width="9.140625" style="12"/>
    <col min="3" max="3" width="21.28515625" style="12" customWidth="1"/>
    <col min="4" max="4" width="12.28515625" style="12" bestFit="1" customWidth="1"/>
    <col min="5" max="5" width="14.140625" style="12" bestFit="1" customWidth="1"/>
    <col min="6" max="6" width="12.7109375" style="12" bestFit="1" customWidth="1"/>
    <col min="7" max="7" width="12.5703125" style="12" customWidth="1"/>
    <col min="8" max="8" width="7.42578125" style="12" bestFit="1" customWidth="1"/>
    <col min="9" max="9" width="10" style="12" customWidth="1"/>
    <col min="10" max="10" width="9.140625" style="12"/>
    <col min="11" max="11" width="14.42578125" style="12" bestFit="1" customWidth="1"/>
    <col min="12" max="16384" width="9.140625" style="12"/>
  </cols>
  <sheetData>
    <row r="1" spans="1:9" ht="16.5" thickBot="1" x14ac:dyDescent="0.3">
      <c r="A1" s="256" t="s">
        <v>11</v>
      </c>
      <c r="B1" s="257"/>
      <c r="C1" s="257"/>
      <c r="D1" s="257"/>
      <c r="E1" s="257"/>
      <c r="F1" s="257"/>
      <c r="G1" s="257"/>
      <c r="H1" s="257"/>
      <c r="I1" s="258"/>
    </row>
    <row r="2" spans="1:9" ht="15.75" thickBot="1" x14ac:dyDescent="0.3">
      <c r="A2" s="259" t="str">
        <f>Planilha!B5</f>
        <v>PREFEITURA MUNICIPAL DE CEDRO DO ABAETÉ - MG</v>
      </c>
      <c r="B2" s="260"/>
      <c r="C2" s="260"/>
      <c r="D2" s="260"/>
      <c r="E2" s="260"/>
      <c r="F2" s="260"/>
      <c r="G2" s="260"/>
      <c r="H2" s="260"/>
      <c r="I2" s="261"/>
    </row>
    <row r="3" spans="1:9" ht="15.75" thickBot="1" x14ac:dyDescent="0.3">
      <c r="A3" s="254" t="str">
        <f>Planilha!B3</f>
        <v>RECOMPOSIÇÃO DE MUROS DE CONTENÇÃO DANIFICADOS</v>
      </c>
      <c r="B3" s="255"/>
      <c r="C3" s="255"/>
      <c r="D3" s="255"/>
      <c r="E3" s="255"/>
      <c r="F3" s="255"/>
      <c r="G3" s="1"/>
      <c r="H3" s="262"/>
      <c r="I3" s="263"/>
    </row>
    <row r="4" spans="1:9" ht="15.75" thickBot="1" x14ac:dyDescent="0.3">
      <c r="A4" s="254" t="str">
        <f>Planilha!B4</f>
        <v>LOCAL: RUA VIGILATO DOS SANTOS ROSA, CEDRO DO ABAETÉ - MG</v>
      </c>
      <c r="B4" s="255"/>
      <c r="C4" s="255"/>
      <c r="D4" s="255"/>
      <c r="E4" s="255"/>
      <c r="F4" s="255"/>
      <c r="G4" s="255"/>
      <c r="H4" s="8" t="s">
        <v>36</v>
      </c>
      <c r="I4" s="7" t="s">
        <v>152</v>
      </c>
    </row>
    <row r="5" spans="1:9" ht="26.25" thickBot="1" x14ac:dyDescent="0.3">
      <c r="A5" s="69" t="s">
        <v>2</v>
      </c>
      <c r="B5" s="250" t="s">
        <v>12</v>
      </c>
      <c r="C5" s="251"/>
      <c r="D5" s="6" t="s">
        <v>13</v>
      </c>
      <c r="E5" s="4" t="s">
        <v>14</v>
      </c>
      <c r="F5" s="5" t="s">
        <v>15</v>
      </c>
      <c r="G5" s="3" t="s">
        <v>16</v>
      </c>
      <c r="H5" s="252" t="s">
        <v>17</v>
      </c>
      <c r="I5" s="253"/>
    </row>
    <row r="6" spans="1:9" x14ac:dyDescent="0.25">
      <c r="A6" s="242">
        <v>1</v>
      </c>
      <c r="B6" s="244" t="str">
        <f>Planilha!B8</f>
        <v xml:space="preserve">SERVIÇOS PRELIMINARES </v>
      </c>
      <c r="C6" s="245"/>
      <c r="D6" s="13" t="s">
        <v>18</v>
      </c>
      <c r="E6" s="2">
        <f>E7/$E$18</f>
        <v>5.9850605581169766E-2</v>
      </c>
      <c r="F6" s="10">
        <v>1</v>
      </c>
      <c r="G6" s="11"/>
      <c r="H6" s="240">
        <f t="shared" ref="H6:H17" si="0">SUM(F6:G6)</f>
        <v>1</v>
      </c>
      <c r="I6" s="241"/>
    </row>
    <row r="7" spans="1:9" ht="15.75" thickBot="1" x14ac:dyDescent="0.3">
      <c r="A7" s="243"/>
      <c r="B7" s="246"/>
      <c r="C7" s="247"/>
      <c r="D7" s="14" t="s">
        <v>19</v>
      </c>
      <c r="E7" s="15">
        <f>Planilha!J8</f>
        <v>8590.2575073110002</v>
      </c>
      <c r="F7" s="16">
        <f>F6*$E$7</f>
        <v>8590.2575073110002</v>
      </c>
      <c r="G7" s="16"/>
      <c r="H7" s="248">
        <f t="shared" si="0"/>
        <v>8590.2575073110002</v>
      </c>
      <c r="I7" s="249"/>
    </row>
    <row r="8" spans="1:9" ht="15" customHeight="1" x14ac:dyDescent="0.25">
      <c r="A8" s="242">
        <v>2</v>
      </c>
      <c r="B8" s="244" t="str">
        <f>Planilha!B15</f>
        <v>DEMOLIÇÕES E REMOÇÕES</v>
      </c>
      <c r="C8" s="245"/>
      <c r="D8" s="13" t="s">
        <v>18</v>
      </c>
      <c r="E8" s="2">
        <f>E9/$E$18</f>
        <v>1.267576968072235E-2</v>
      </c>
      <c r="F8" s="10">
        <v>1</v>
      </c>
      <c r="G8" s="11"/>
      <c r="H8" s="240">
        <f t="shared" si="0"/>
        <v>1</v>
      </c>
      <c r="I8" s="241"/>
    </row>
    <row r="9" spans="1:9" ht="15.75" thickBot="1" x14ac:dyDescent="0.3">
      <c r="A9" s="243"/>
      <c r="B9" s="246"/>
      <c r="C9" s="247"/>
      <c r="D9" s="14" t="s">
        <v>19</v>
      </c>
      <c r="E9" s="15">
        <f>Planilha!J15</f>
        <v>1819.3320619470687</v>
      </c>
      <c r="F9" s="16">
        <f>F8*$E$9</f>
        <v>1819.3320619470687</v>
      </c>
      <c r="G9" s="16"/>
      <c r="H9" s="248">
        <f t="shared" si="0"/>
        <v>1819.3320619470687</v>
      </c>
      <c r="I9" s="249"/>
    </row>
    <row r="10" spans="1:9" ht="15" customHeight="1" x14ac:dyDescent="0.25">
      <c r="A10" s="242">
        <v>3</v>
      </c>
      <c r="B10" s="244" t="str">
        <f>Planilha!B17</f>
        <v>INFRAESTRUTURA E SUPERESTRUTURA</v>
      </c>
      <c r="C10" s="245"/>
      <c r="D10" s="13" t="s">
        <v>18</v>
      </c>
      <c r="E10" s="2">
        <f>E11/$E$18</f>
        <v>0.88127133711240002</v>
      </c>
      <c r="F10" s="10">
        <v>0.5</v>
      </c>
      <c r="G10" s="11">
        <v>0.5</v>
      </c>
      <c r="H10" s="240">
        <f t="shared" si="0"/>
        <v>1</v>
      </c>
      <c r="I10" s="241"/>
    </row>
    <row r="11" spans="1:9" ht="15.75" thickBot="1" x14ac:dyDescent="0.3">
      <c r="A11" s="243"/>
      <c r="B11" s="246"/>
      <c r="C11" s="247"/>
      <c r="D11" s="14" t="s">
        <v>19</v>
      </c>
      <c r="E11" s="15">
        <f>Planilha!J17</f>
        <v>126487.40386328832</v>
      </c>
      <c r="F11" s="16">
        <f>F10*$E$11</f>
        <v>63243.701931644158</v>
      </c>
      <c r="G11" s="16">
        <f t="shared" ref="G11" si="1">G10*$E$11</f>
        <v>63243.701931644158</v>
      </c>
      <c r="H11" s="248">
        <f t="shared" si="0"/>
        <v>126487.40386328832</v>
      </c>
      <c r="I11" s="249"/>
    </row>
    <row r="12" spans="1:9" ht="17.25" customHeight="1" x14ac:dyDescent="0.25">
      <c r="A12" s="242">
        <v>4</v>
      </c>
      <c r="B12" s="244" t="str">
        <f>Planilha!B28</f>
        <v>ALVENARIAS</v>
      </c>
      <c r="C12" s="245"/>
      <c r="D12" s="13" t="s">
        <v>18</v>
      </c>
      <c r="E12" s="2">
        <f>E13/$E$18</f>
        <v>3.789752680914265E-2</v>
      </c>
      <c r="F12" s="21">
        <v>0.5</v>
      </c>
      <c r="G12" s="22">
        <v>0.5</v>
      </c>
      <c r="H12" s="240">
        <f t="shared" si="0"/>
        <v>1</v>
      </c>
      <c r="I12" s="241"/>
    </row>
    <row r="13" spans="1:9" ht="16.5" customHeight="1" thickBot="1" x14ac:dyDescent="0.3">
      <c r="A13" s="243"/>
      <c r="B13" s="246"/>
      <c r="C13" s="247"/>
      <c r="D13" s="14" t="s">
        <v>19</v>
      </c>
      <c r="E13" s="15">
        <f>Planilha!J28</f>
        <v>5439.3687585875014</v>
      </c>
      <c r="F13" s="16">
        <f t="shared" ref="F13:G13" si="2">F12*$E$13</f>
        <v>2719.6843792937507</v>
      </c>
      <c r="G13" s="16">
        <f t="shared" si="2"/>
        <v>2719.6843792937507</v>
      </c>
      <c r="H13" s="248">
        <f t="shared" si="0"/>
        <v>5439.3687585875014</v>
      </c>
      <c r="I13" s="249"/>
    </row>
    <row r="14" spans="1:9" ht="15" customHeight="1" x14ac:dyDescent="0.25">
      <c r="A14" s="242">
        <v>5</v>
      </c>
      <c r="B14" s="244" t="str">
        <f>Planilha!B31</f>
        <v>CALÇADA</v>
      </c>
      <c r="C14" s="245"/>
      <c r="D14" s="17" t="s">
        <v>18</v>
      </c>
      <c r="E14" s="2">
        <f>E15/$E$18</f>
        <v>5.5418174366784019E-3</v>
      </c>
      <c r="F14" s="23"/>
      <c r="G14" s="22">
        <v>1</v>
      </c>
      <c r="H14" s="240">
        <f t="shared" si="0"/>
        <v>1</v>
      </c>
      <c r="I14" s="241"/>
    </row>
    <row r="15" spans="1:9" ht="17.25" customHeight="1" thickBot="1" x14ac:dyDescent="0.3">
      <c r="A15" s="243"/>
      <c r="B15" s="246"/>
      <c r="C15" s="247"/>
      <c r="D15" s="19" t="s">
        <v>19</v>
      </c>
      <c r="E15" s="20">
        <f>Planilha!J31</f>
        <v>795.40780544000643</v>
      </c>
      <c r="F15" s="16"/>
      <c r="G15" s="16">
        <f t="shared" ref="G15" si="3">G14*$E$13</f>
        <v>5439.3687585875014</v>
      </c>
      <c r="H15" s="248">
        <f t="shared" si="0"/>
        <v>5439.3687585875014</v>
      </c>
      <c r="I15" s="249"/>
    </row>
    <row r="16" spans="1:9" ht="15" customHeight="1" x14ac:dyDescent="0.25">
      <c r="A16" s="242">
        <v>6</v>
      </c>
      <c r="B16" s="244" t="str">
        <f>Planilha!B34</f>
        <v>LIMPEZA FINAL PARA ENTREGA DA OBRA</v>
      </c>
      <c r="C16" s="245"/>
      <c r="D16" s="17" t="s">
        <v>18</v>
      </c>
      <c r="E16" s="2">
        <f>E17/$E$18</f>
        <v>2.7629433798866737E-3</v>
      </c>
      <c r="F16" s="18"/>
      <c r="G16" s="22">
        <v>1</v>
      </c>
      <c r="H16" s="240">
        <f t="shared" si="0"/>
        <v>1</v>
      </c>
      <c r="I16" s="241"/>
    </row>
    <row r="17" spans="1:11" ht="17.25" customHeight="1" thickBot="1" x14ac:dyDescent="0.3">
      <c r="A17" s="243"/>
      <c r="B17" s="246"/>
      <c r="C17" s="247"/>
      <c r="D17" s="19" t="s">
        <v>19</v>
      </c>
      <c r="E17" s="20">
        <f>Planilha!J34</f>
        <v>396.56065098886916</v>
      </c>
      <c r="F17" s="16"/>
      <c r="G17" s="16">
        <f t="shared" ref="G17" si="4">G16*$E$13</f>
        <v>5439.3687585875014</v>
      </c>
      <c r="H17" s="248">
        <f t="shared" si="0"/>
        <v>5439.3687585875014</v>
      </c>
      <c r="I17" s="249"/>
    </row>
    <row r="18" spans="1:11" s="9" customFormat="1" ht="15.75" customHeight="1" thickBot="1" x14ac:dyDescent="0.3">
      <c r="A18" s="242" t="s">
        <v>56</v>
      </c>
      <c r="B18" s="269"/>
      <c r="C18" s="269"/>
      <c r="D18" s="270"/>
      <c r="E18" s="65">
        <f>E7+E9+E11+E13+E15+E17</f>
        <v>143528.33064756278</v>
      </c>
      <c r="F18" s="65">
        <f t="shared" ref="F18:G18" si="5">F7+F9+F11+F13+F15+F17</f>
        <v>76372.975880195969</v>
      </c>
      <c r="G18" s="65">
        <f t="shared" si="5"/>
        <v>76842.123828112904</v>
      </c>
      <c r="H18" s="267">
        <f>H7+H9+H11+H13+H15+H17</f>
        <v>153215.09970830893</v>
      </c>
      <c r="I18" s="268"/>
    </row>
    <row r="19" spans="1:11" ht="14.45" customHeight="1" x14ac:dyDescent="0.25">
      <c r="A19" s="275" t="s">
        <v>24</v>
      </c>
      <c r="B19" s="276"/>
      <c r="C19" s="276"/>
      <c r="D19" s="277"/>
      <c r="E19" s="271" t="s">
        <v>57</v>
      </c>
      <c r="F19" s="271"/>
      <c r="G19" s="271"/>
      <c r="H19" s="271"/>
      <c r="I19" s="272"/>
      <c r="J19" s="24"/>
      <c r="K19" s="136"/>
    </row>
    <row r="20" spans="1:11" x14ac:dyDescent="0.25">
      <c r="A20" s="278"/>
      <c r="B20" s="279"/>
      <c r="C20" s="279"/>
      <c r="D20" s="280"/>
      <c r="E20" s="273"/>
      <c r="F20" s="273"/>
      <c r="G20" s="273"/>
      <c r="H20" s="273"/>
      <c r="I20" s="274"/>
      <c r="J20" s="24"/>
    </row>
    <row r="21" spans="1:11" ht="15" customHeight="1" x14ac:dyDescent="0.25">
      <c r="A21" s="281" t="s">
        <v>34</v>
      </c>
      <c r="B21" s="282"/>
      <c r="C21" s="282"/>
      <c r="D21" s="283"/>
      <c r="E21" s="265"/>
      <c r="F21" s="265"/>
      <c r="G21" s="265"/>
      <c r="H21" s="265"/>
      <c r="I21" s="266"/>
      <c r="J21" s="24"/>
    </row>
    <row r="22" spans="1:11" ht="15" customHeight="1" thickBot="1" x14ac:dyDescent="0.3">
      <c r="A22" s="284" t="s">
        <v>35</v>
      </c>
      <c r="B22" s="285"/>
      <c r="C22" s="285"/>
      <c r="D22" s="286"/>
      <c r="E22" s="63"/>
      <c r="F22" s="63"/>
      <c r="G22" s="63"/>
      <c r="H22" s="63"/>
      <c r="I22" s="64"/>
      <c r="J22" s="24"/>
    </row>
    <row r="25" spans="1:11" ht="18" x14ac:dyDescent="0.25">
      <c r="C25" s="25"/>
      <c r="D25" s="264"/>
      <c r="E25" s="264"/>
      <c r="F25" s="264"/>
    </row>
  </sheetData>
  <mergeCells count="39">
    <mergeCell ref="D25:F25"/>
    <mergeCell ref="E21:I21"/>
    <mergeCell ref="H18:I18"/>
    <mergeCell ref="A18:D18"/>
    <mergeCell ref="E19:I20"/>
    <mergeCell ref="A19:D20"/>
    <mergeCell ref="A21:D21"/>
    <mergeCell ref="A22:D22"/>
    <mergeCell ref="B12:C13"/>
    <mergeCell ref="A6:A7"/>
    <mergeCell ref="B6:C7"/>
    <mergeCell ref="A12:A13"/>
    <mergeCell ref="B10:C11"/>
    <mergeCell ref="A8:A9"/>
    <mergeCell ref="B8:C9"/>
    <mergeCell ref="A10:A11"/>
    <mergeCell ref="A4:G4"/>
    <mergeCell ref="A1:I1"/>
    <mergeCell ref="A2:I2"/>
    <mergeCell ref="A3:F3"/>
    <mergeCell ref="H3:I3"/>
    <mergeCell ref="B5:C5"/>
    <mergeCell ref="H5:I5"/>
    <mergeCell ref="H6:I6"/>
    <mergeCell ref="H7:I7"/>
    <mergeCell ref="H8:I8"/>
    <mergeCell ref="H9:I9"/>
    <mergeCell ref="H12:I12"/>
    <mergeCell ref="H13:I13"/>
    <mergeCell ref="H10:I10"/>
    <mergeCell ref="H11:I11"/>
    <mergeCell ref="H16:I16"/>
    <mergeCell ref="A14:A15"/>
    <mergeCell ref="B14:C15"/>
    <mergeCell ref="H14:I14"/>
    <mergeCell ref="H15:I15"/>
    <mergeCell ref="A16:A17"/>
    <mergeCell ref="B16:C17"/>
    <mergeCell ref="H17:I17"/>
  </mergeCells>
  <phoneticPr fontId="12" type="noConversion"/>
  <conditionalFormatting sqref="F6:G6">
    <cfRule type="cellIs" dxfId="10" priority="10" operator="greaterThan">
      <formula>0</formula>
    </cfRule>
  </conditionalFormatting>
  <conditionalFormatting sqref="F8:G8">
    <cfRule type="cellIs" dxfId="9" priority="9" operator="greaterThan">
      <formula>0</formula>
    </cfRule>
  </conditionalFormatting>
  <conditionalFormatting sqref="F10:G10">
    <cfRule type="cellIs" dxfId="8" priority="8" operator="greaterThan">
      <formula>0</formula>
    </cfRule>
  </conditionalFormatting>
  <conditionalFormatting sqref="F12:G12">
    <cfRule type="cellIs" dxfId="7" priority="11" operator="greaterThan">
      <formula>0</formula>
    </cfRule>
  </conditionalFormatting>
  <conditionalFormatting sqref="F14:G14">
    <cfRule type="cellIs" dxfId="6" priority="2" operator="greaterThan">
      <formula>0</formula>
    </cfRule>
  </conditionalFormatting>
  <conditionalFormatting sqref="F16:G16">
    <cfRule type="cellIs" dxfId="5" priority="1" operator="greaterThan">
      <formula>0</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&amp;L&amp;G</oddHeader>
    <oddFooter>&amp;C&amp;"Times New Roman,Normal"&amp;12RJ Morais Engenharia e Arquitetura Ltda / CNPJ: 42.441.571/0001-01
www.rjmorais.com.br / rjmorais@rjmorais.com.br / Fone: (37) 99182-8911
Rua Jarbas Ferreira Pires, 440, sala 102, Centro, Arcos/MG, cep 35.588-000</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44D1-2C83-45DF-9811-0F625D6D4A2D}">
  <sheetPr>
    <pageSetUpPr fitToPage="1"/>
  </sheetPr>
  <dimension ref="A1:K27"/>
  <sheetViews>
    <sheetView view="pageBreakPreview" zoomScale="85" zoomScaleNormal="100" zoomScaleSheetLayoutView="85" workbookViewId="0">
      <selection activeCell="D15" sqref="D15:E15"/>
    </sheetView>
  </sheetViews>
  <sheetFormatPr defaultRowHeight="15" x14ac:dyDescent="0.25"/>
  <cols>
    <col min="1" max="1" width="6.28515625" customWidth="1"/>
    <col min="2" max="2" width="13.28515625" customWidth="1"/>
    <col min="3" max="3" width="33.85546875" customWidth="1"/>
    <col min="4" max="4" width="11.140625" customWidth="1"/>
    <col min="5" max="5" width="7.140625" customWidth="1"/>
    <col min="6" max="6" width="17.140625" customWidth="1"/>
    <col min="7" max="7" width="14.28515625" bestFit="1" customWidth="1"/>
    <col min="8" max="8" width="15.85546875" bestFit="1" customWidth="1"/>
    <col min="9" max="9" width="15.28515625" customWidth="1"/>
    <col min="11" max="11" width="14.5703125" bestFit="1" customWidth="1"/>
  </cols>
  <sheetData>
    <row r="1" spans="1:11" s="30" customFormat="1" ht="15" customHeight="1" x14ac:dyDescent="0.25">
      <c r="A1" s="287" t="s">
        <v>60</v>
      </c>
      <c r="B1" s="288"/>
      <c r="C1" s="288"/>
      <c r="D1" s="288"/>
      <c r="E1" s="288"/>
      <c r="F1" s="288"/>
      <c r="G1" s="288"/>
      <c r="H1" s="288"/>
      <c r="I1" s="289"/>
      <c r="J1" s="29"/>
      <c r="K1" s="29"/>
    </row>
    <row r="2" spans="1:11" s="30" customFormat="1" ht="21.6" hidden="1" customHeight="1" x14ac:dyDescent="0.25">
      <c r="A2" s="290" t="s">
        <v>61</v>
      </c>
      <c r="B2" s="291"/>
      <c r="C2" s="291"/>
      <c r="D2" s="292" t="s">
        <v>62</v>
      </c>
      <c r="E2" s="293"/>
      <c r="F2" s="294" t="s">
        <v>63</v>
      </c>
      <c r="G2" s="295"/>
      <c r="H2" s="295"/>
      <c r="I2" s="296"/>
      <c r="J2" s="31"/>
      <c r="K2" s="31"/>
    </row>
    <row r="3" spans="1:11" s="30" customFormat="1" ht="35.450000000000003" hidden="1" customHeight="1" x14ac:dyDescent="0.25">
      <c r="A3" s="297" t="str">
        <f>'[1]PLANILHA GERAL'!A3:D3</f>
        <v xml:space="preserve">OBJETO: Contratação eventual e futura de empresa especializada para prestação de serviços de elaboração de Projetos Complementares, Planilhas Orçamentárias e Memoriais Descritivos, atendendo às necessidades da Secretaria de Obras deste Município. </v>
      </c>
      <c r="B3" s="298"/>
      <c r="C3" s="298"/>
      <c r="D3" s="298"/>
      <c r="E3" s="298"/>
      <c r="F3" s="298"/>
      <c r="G3" s="298"/>
      <c r="H3" s="298"/>
      <c r="I3" s="299"/>
      <c r="J3" s="32"/>
      <c r="K3" s="32"/>
    </row>
    <row r="4" spans="1:11" s="30" customFormat="1" ht="18" customHeight="1" x14ac:dyDescent="0.25">
      <c r="A4" s="310" t="s">
        <v>87</v>
      </c>
      <c r="B4" s="311"/>
      <c r="C4" s="312"/>
      <c r="D4" s="302" t="str">
        <f>Planilha!B3</f>
        <v>RECOMPOSIÇÃO DE MUROS DE CONTENÇÃO DANIFICADOS</v>
      </c>
      <c r="E4" s="295"/>
      <c r="F4" s="295"/>
      <c r="G4" s="295"/>
      <c r="H4" s="295"/>
      <c r="I4" s="296"/>
      <c r="J4" s="32"/>
      <c r="K4" s="32"/>
    </row>
    <row r="5" spans="1:11" s="30" customFormat="1" ht="18" x14ac:dyDescent="0.25">
      <c r="A5" s="303" t="s">
        <v>86</v>
      </c>
      <c r="B5" s="304"/>
      <c r="C5" s="305"/>
      <c r="D5" s="324">
        <f>Planilha!J36</f>
        <v>143528.33064756278</v>
      </c>
      <c r="E5" s="325"/>
      <c r="F5" s="33"/>
      <c r="G5" s="34" t="s">
        <v>23</v>
      </c>
      <c r="H5" s="35">
        <f>I7</f>
        <v>0.20301131837419373</v>
      </c>
      <c r="I5" s="36"/>
      <c r="J5" s="37"/>
      <c r="K5" s="38"/>
    </row>
    <row r="6" spans="1:11" ht="20.25" x14ac:dyDescent="0.25">
      <c r="A6" s="306"/>
      <c r="B6" s="307"/>
      <c r="C6" s="307"/>
      <c r="D6" s="307"/>
      <c r="E6" s="307"/>
      <c r="F6" s="307"/>
      <c r="G6" s="307"/>
      <c r="H6" s="307"/>
      <c r="I6" s="308"/>
    </row>
    <row r="7" spans="1:11" ht="15" customHeight="1" x14ac:dyDescent="0.25">
      <c r="A7" s="306" t="s">
        <v>58</v>
      </c>
      <c r="B7" s="307"/>
      <c r="C7" s="307"/>
      <c r="D7" s="309" t="s">
        <v>65</v>
      </c>
      <c r="E7" s="309"/>
      <c r="F7" s="309"/>
      <c r="G7" s="309"/>
      <c r="H7" s="66" t="s">
        <v>68</v>
      </c>
      <c r="I7" s="40">
        <f>IF(H7="S",((1+D12+D9+D10)*(1+D11)*((1+D13)/(1-D15-D14)))-1,0)</f>
        <v>0.20301131837419373</v>
      </c>
    </row>
    <row r="8" spans="1:11" ht="15" customHeight="1" x14ac:dyDescent="0.25">
      <c r="A8" s="306"/>
      <c r="B8" s="307"/>
      <c r="C8" s="307"/>
      <c r="D8" s="309" t="s">
        <v>67</v>
      </c>
      <c r="E8" s="309"/>
      <c r="F8" s="309"/>
      <c r="G8" s="309"/>
      <c r="H8" s="39" t="s">
        <v>66</v>
      </c>
      <c r="I8" s="40"/>
      <c r="K8" t="s">
        <v>64</v>
      </c>
    </row>
    <row r="9" spans="1:11" ht="15" customHeight="1" x14ac:dyDescent="0.25">
      <c r="A9" s="300" t="s">
        <v>69</v>
      </c>
      <c r="B9" s="301"/>
      <c r="C9" s="41" t="s">
        <v>70</v>
      </c>
      <c r="D9" s="313">
        <v>8.0000000000000002E-3</v>
      </c>
      <c r="E9" s="313"/>
      <c r="F9" s="331" t="s">
        <v>71</v>
      </c>
      <c r="G9" s="331"/>
      <c r="H9" s="331"/>
      <c r="I9" s="332"/>
    </row>
    <row r="10" spans="1:11" x14ac:dyDescent="0.25">
      <c r="A10" s="300" t="s">
        <v>72</v>
      </c>
      <c r="B10" s="301"/>
      <c r="C10" s="41" t="s">
        <v>73</v>
      </c>
      <c r="D10" s="313">
        <v>9.7000000000000003E-3</v>
      </c>
      <c r="E10" s="313"/>
      <c r="F10" s="331"/>
      <c r="G10" s="331"/>
      <c r="H10" s="331"/>
      <c r="I10" s="332"/>
    </row>
    <row r="11" spans="1:11" x14ac:dyDescent="0.25">
      <c r="A11" s="314" t="s">
        <v>74</v>
      </c>
      <c r="B11" s="315"/>
      <c r="C11" s="41" t="s">
        <v>75</v>
      </c>
      <c r="D11" s="313">
        <v>5.8999999999999999E-3</v>
      </c>
      <c r="E11" s="313"/>
      <c r="F11" s="331"/>
      <c r="G11" s="331"/>
      <c r="H11" s="331"/>
      <c r="I11" s="332"/>
    </row>
    <row r="12" spans="1:11" x14ac:dyDescent="0.25">
      <c r="A12" s="300" t="s">
        <v>76</v>
      </c>
      <c r="B12" s="301"/>
      <c r="C12" s="41" t="s">
        <v>77</v>
      </c>
      <c r="D12" s="313">
        <v>0.03</v>
      </c>
      <c r="E12" s="313"/>
      <c r="F12" s="331"/>
      <c r="G12" s="331"/>
      <c r="H12" s="331"/>
      <c r="I12" s="332"/>
    </row>
    <row r="13" spans="1:11" x14ac:dyDescent="0.25">
      <c r="A13" s="300" t="s">
        <v>78</v>
      </c>
      <c r="B13" s="301"/>
      <c r="C13" s="41" t="s">
        <v>79</v>
      </c>
      <c r="D13" s="313">
        <v>6.1600000000000002E-2</v>
      </c>
      <c r="E13" s="313"/>
      <c r="F13" s="331"/>
      <c r="G13" s="331"/>
      <c r="H13" s="331"/>
      <c r="I13" s="332"/>
    </row>
    <row r="14" spans="1:11" x14ac:dyDescent="0.25">
      <c r="A14" s="300" t="s">
        <v>80</v>
      </c>
      <c r="B14" s="301"/>
      <c r="C14" s="41">
        <v>4.4999999999999998E-2</v>
      </c>
      <c r="D14" s="313">
        <v>4.4999999999999998E-2</v>
      </c>
      <c r="E14" s="313"/>
      <c r="F14" s="331"/>
      <c r="G14" s="331"/>
      <c r="H14" s="331"/>
      <c r="I14" s="332"/>
    </row>
    <row r="15" spans="1:11" x14ac:dyDescent="0.25">
      <c r="A15" s="300" t="s">
        <v>81</v>
      </c>
      <c r="B15" s="301"/>
      <c r="C15" s="41">
        <v>2.5000000000000001E-2</v>
      </c>
      <c r="D15" s="313">
        <v>2.5000000000000001E-2</v>
      </c>
      <c r="E15" s="313"/>
      <c r="F15" s="331"/>
      <c r="G15" s="331"/>
      <c r="H15" s="331"/>
      <c r="I15" s="332"/>
    </row>
    <row r="16" spans="1:11" x14ac:dyDescent="0.25">
      <c r="A16" s="42"/>
      <c r="B16" s="43"/>
      <c r="C16" s="44"/>
      <c r="D16" s="45"/>
      <c r="E16" s="45"/>
      <c r="F16" s="329" t="s">
        <v>82</v>
      </c>
      <c r="G16" s="329"/>
      <c r="H16" s="329"/>
      <c r="I16" s="330"/>
    </row>
    <row r="17" spans="1:11" x14ac:dyDescent="0.25">
      <c r="A17" s="46" t="s">
        <v>2</v>
      </c>
      <c r="B17" s="47" t="s">
        <v>1</v>
      </c>
      <c r="C17" s="70" t="s">
        <v>83</v>
      </c>
      <c r="D17" s="70" t="s">
        <v>84</v>
      </c>
      <c r="E17" s="70" t="s">
        <v>4</v>
      </c>
      <c r="F17" s="70" t="s">
        <v>88</v>
      </c>
      <c r="G17" s="70" t="s">
        <v>85</v>
      </c>
      <c r="H17" s="70" t="s">
        <v>89</v>
      </c>
      <c r="I17" s="71" t="s">
        <v>85</v>
      </c>
    </row>
    <row r="18" spans="1:11" ht="42" customHeight="1" x14ac:dyDescent="0.25">
      <c r="A18" s="48">
        <v>1</v>
      </c>
      <c r="B18" s="49" t="s">
        <v>54</v>
      </c>
      <c r="C18" s="67" t="str">
        <f>Planilha!B3</f>
        <v>RECOMPOSIÇÃO DE MUROS DE CONTENÇÃO DANIFICADOS</v>
      </c>
      <c r="D18" s="72" t="s">
        <v>84</v>
      </c>
      <c r="E18" s="50">
        <v>1</v>
      </c>
      <c r="F18" s="60">
        <f>Planilha!H36</f>
        <v>119307.54803000001</v>
      </c>
      <c r="G18" s="61">
        <f>E18*F18</f>
        <v>119307.54803000001</v>
      </c>
      <c r="H18" s="61">
        <f>G18+(H5*F18)</f>
        <v>143528.33064756275</v>
      </c>
      <c r="I18" s="62">
        <f>E18*H18</f>
        <v>143528.33064756275</v>
      </c>
    </row>
    <row r="19" spans="1:11" x14ac:dyDescent="0.25">
      <c r="A19" s="326" t="s">
        <v>17</v>
      </c>
      <c r="B19" s="327"/>
      <c r="C19" s="328"/>
      <c r="D19" s="327"/>
      <c r="E19" s="327"/>
      <c r="F19" s="327"/>
      <c r="G19" s="58">
        <f>G18</f>
        <v>119307.54803000001</v>
      </c>
      <c r="H19" s="51"/>
      <c r="I19" s="59">
        <f>I18</f>
        <v>143528.33064756275</v>
      </c>
      <c r="K19" s="68"/>
    </row>
    <row r="20" spans="1:11" x14ac:dyDescent="0.25">
      <c r="A20" s="52"/>
      <c r="I20" s="26"/>
    </row>
    <row r="21" spans="1:11" x14ac:dyDescent="0.25">
      <c r="A21" s="52"/>
      <c r="I21" s="26"/>
    </row>
    <row r="22" spans="1:11" x14ac:dyDescent="0.25">
      <c r="A22" s="52"/>
      <c r="I22" s="26"/>
    </row>
    <row r="23" spans="1:11" ht="33.75" customHeight="1" x14ac:dyDescent="0.25">
      <c r="A23" s="52"/>
      <c r="B23" s="316" t="s">
        <v>59</v>
      </c>
      <c r="C23" s="316"/>
      <c r="D23" s="316"/>
      <c r="E23" s="316"/>
      <c r="F23" s="316"/>
      <c r="G23" s="316"/>
      <c r="H23" s="316"/>
      <c r="I23" s="317"/>
      <c r="J23" s="53"/>
      <c r="K23" s="53"/>
    </row>
    <row r="24" spans="1:11" x14ac:dyDescent="0.25">
      <c r="A24" s="52"/>
      <c r="B24" s="318" t="s">
        <v>34</v>
      </c>
      <c r="C24" s="318"/>
      <c r="D24" s="318"/>
      <c r="E24" s="318"/>
      <c r="F24" s="318"/>
      <c r="G24" s="318"/>
      <c r="H24" s="318"/>
      <c r="I24" s="319"/>
      <c r="J24" s="54"/>
      <c r="K24" s="54"/>
    </row>
    <row r="25" spans="1:11" x14ac:dyDescent="0.25">
      <c r="A25" s="52"/>
      <c r="B25" s="320" t="s">
        <v>91</v>
      </c>
      <c r="C25" s="320"/>
      <c r="D25" s="320"/>
      <c r="E25" s="320"/>
      <c r="F25" s="320"/>
      <c r="G25" s="320"/>
      <c r="H25" s="320"/>
      <c r="I25" s="321"/>
      <c r="J25" s="55"/>
      <c r="K25" s="55"/>
    </row>
    <row r="26" spans="1:11" x14ac:dyDescent="0.25">
      <c r="A26" s="52"/>
      <c r="B26" s="322" t="s">
        <v>92</v>
      </c>
      <c r="C26" s="322"/>
      <c r="D26" s="322"/>
      <c r="E26" s="322"/>
      <c r="F26" s="322"/>
      <c r="G26" s="322"/>
      <c r="H26" s="322"/>
      <c r="I26" s="323"/>
      <c r="J26" s="56"/>
      <c r="K26" s="56"/>
    </row>
    <row r="27" spans="1:11" ht="15.75" thickBot="1" x14ac:dyDescent="0.3">
      <c r="A27" s="27"/>
      <c r="B27" s="57"/>
      <c r="C27" s="57"/>
      <c r="D27" s="57"/>
      <c r="E27" s="57"/>
      <c r="F27" s="57"/>
      <c r="G27" s="57"/>
      <c r="H27" s="57"/>
      <c r="I27" s="28"/>
    </row>
  </sheetData>
  <mergeCells count="34">
    <mergeCell ref="B23:I23"/>
    <mergeCell ref="B24:I24"/>
    <mergeCell ref="B25:I25"/>
    <mergeCell ref="B26:I26"/>
    <mergeCell ref="D5:E5"/>
    <mergeCell ref="A19:F19"/>
    <mergeCell ref="D13:E13"/>
    <mergeCell ref="A14:B14"/>
    <mergeCell ref="D14:E14"/>
    <mergeCell ref="A15:B15"/>
    <mergeCell ref="D15:E15"/>
    <mergeCell ref="F16:I16"/>
    <mergeCell ref="A9:B9"/>
    <mergeCell ref="D9:E9"/>
    <mergeCell ref="F9:I15"/>
    <mergeCell ref="A10:B10"/>
    <mergeCell ref="A13:B13"/>
    <mergeCell ref="D4:I4"/>
    <mergeCell ref="A5:C5"/>
    <mergeCell ref="A6:I6"/>
    <mergeCell ref="A7:C8"/>
    <mergeCell ref="D7:G7"/>
    <mergeCell ref="D8:G8"/>
    <mergeCell ref="A4:C4"/>
    <mergeCell ref="D10:E10"/>
    <mergeCell ref="A11:B11"/>
    <mergeCell ref="D11:E11"/>
    <mergeCell ref="A12:B12"/>
    <mergeCell ref="D12:E12"/>
    <mergeCell ref="A1:I1"/>
    <mergeCell ref="A2:C2"/>
    <mergeCell ref="D2:E2"/>
    <mergeCell ref="F2:I2"/>
    <mergeCell ref="A3:I3"/>
  </mergeCells>
  <conditionalFormatting sqref="A19 G19:I19">
    <cfRule type="cellIs" dxfId="4" priority="2" stopIfTrue="1" operator="equal">
      <formula>0</formula>
    </cfRule>
    <cfRule type="expression" dxfId="3" priority="3" stopIfTrue="1">
      <formula>SOMA</formula>
    </cfRule>
  </conditionalFormatting>
  <conditionalFormatting sqref="H7">
    <cfRule type="colorScale" priority="1">
      <colorScale>
        <cfvo type="min"/>
        <cfvo type="percentile" val="50"/>
        <cfvo type="max"/>
        <color rgb="FFF8696B"/>
        <color rgb="FFFFEB84"/>
        <color rgb="FF63BE7B"/>
      </colorScale>
    </cfRule>
  </conditionalFormatting>
  <conditionalFormatting sqref="H7:H8">
    <cfRule type="cellIs" dxfId="2" priority="6" stopIfTrue="1" operator="notEqual">
      <formula>IF(H8="x",0)</formula>
    </cfRule>
  </conditionalFormatting>
  <conditionalFormatting sqref="I18">
    <cfRule type="cellIs" dxfId="1" priority="4" stopIfTrue="1" operator="equal">
      <formula>0</formula>
    </cfRule>
    <cfRule type="expression" dxfId="0" priority="5" stopIfTrue="1">
      <formula>SOMA</formula>
    </cfRule>
  </conditionalFormatting>
  <printOptions horizontalCentered="1"/>
  <pageMargins left="0.51181102362204722" right="0.51181102362204722" top="1.7716535433070868" bottom="0.78740157480314965" header="0.31496062992125984" footer="0.31496062992125984"/>
  <pageSetup paperSize="9" scale="68" orientation="portrait" horizontalDpi="300" verticalDpi="300" r:id="rId1"/>
  <headerFooter>
    <oddHeader>&amp;L&amp;G</oddHeader>
    <oddFooter xml:space="preserve">&amp;C&amp;"Times New Roman,Normal"RJ Morais Engenharia e Arquitetura Ltda / CNPJ: 42.441.571/0001-01
www.rjmorais.com.br / rjmorais@rjmorais.com.br / Fone: (37) 99182-8911
Rua Jarbas Ferreira Pires, 440, sala 102, Centro, Arcos/MG, cep 35.588-000&amp;"-,Regular"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vt:lpstr>
      <vt:lpstr>memória de cálculo</vt:lpstr>
      <vt:lpstr>cronograma</vt:lpstr>
      <vt:lpstr>BDI</vt:lpstr>
      <vt:lpstr>BDI!Area_de_impressao</vt:lpstr>
      <vt:lpstr>cronograma!Area_de_impressao</vt:lpstr>
      <vt:lpstr>'memória de cálculo'!Area_de_impressao</vt:lpstr>
      <vt:lpstr>Planilha!Area_de_impressao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JOÃO RAFAEL</dc:creator>
  <cp:lastModifiedBy>João Rafael '</cp:lastModifiedBy>
  <cp:lastPrinted>2024-06-20T08:49:52Z</cp:lastPrinted>
  <dcterms:created xsi:type="dcterms:W3CDTF">2018-08-13T11:37:25Z</dcterms:created>
  <dcterms:modified xsi:type="dcterms:W3CDTF">2024-07-02T12:46:19Z</dcterms:modified>
</cp:coreProperties>
</file>